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Waleed\Desktop\SKOLEÅR 24-25\"/>
    </mc:Choice>
  </mc:AlternateContent>
  <xr:revisionPtr revIDLastSave="0" documentId="8_{45E5ABEA-29B1-4203-B2F7-0D023FA10F4C}" xr6:coauthVersionLast="47" xr6:coauthVersionMax="47" xr10:uidLastSave="{00000000-0000-0000-0000-000000000000}"/>
  <bookViews>
    <workbookView xWindow="-120" yWindow="-120" windowWidth="51840" windowHeight="21120" tabRatio="500" firstSheet="1" activeTab="7" xr2:uid="{00000000-000D-0000-FFFF-FFFF00000000}"/>
  </bookViews>
  <sheets>
    <sheet name="Maaned 2024-2025" sheetId="22" r:id="rId1"/>
    <sheet name=" ÅR 2024-2025 LÆRER " sheetId="47" r:id="rId2"/>
    <sheet name="Vejledning til arb.tidsoversigt" sheetId="20" state="hidden" r:id="rId3"/>
    <sheet name="Opgaveoversigt" sheetId="2" state="hidden" r:id="rId4"/>
    <sheet name="Aften-weekendtillæg" sheetId="5" state="hidden" r:id="rId5"/>
    <sheet name=" 1. HALVÅR 2024-2025 LÆRER " sheetId="41" r:id="rId6"/>
    <sheet name=" 2. HALVÅR 2024-2025 LÆRER" sheetId="42" r:id="rId7"/>
    <sheet name=" ÅR 2024-2025 (ELEV)" sheetId="48" r:id="rId8"/>
    <sheet name=" 1. HALVÅR 2024-2025 (ELEV)" sheetId="49" r:id="rId9"/>
    <sheet name=" 2. HALVÅR 2024-2025 (ELEV)" sheetId="50" r:id="rId10"/>
  </sheets>
  <externalReferences>
    <externalReference r:id="rId11"/>
  </externalReferences>
  <definedNames>
    <definedName name="_xlnm._FilterDatabase" localSheetId="0" hidden="1">'Maaned 2024-2025'!$A$1:$CJ$46</definedName>
    <definedName name="april" localSheetId="0">'Maaned 2024-2025'!$BH$5:$BH$34</definedName>
    <definedName name="April">#REF!</definedName>
    <definedName name="AUG">#REF!</definedName>
    <definedName name="august" localSheetId="0">'Maaned 2024-2025'!$D$5:$D$35</definedName>
    <definedName name="AUGUST">#REF!</definedName>
    <definedName name="dagapr">[1]Maaned!$AQ$5:$AQ$34</definedName>
    <definedName name="dagaug">[1]Maaned!$C$5:$C$35</definedName>
    <definedName name="dagdec">[1]Maaned!$W$5:$W$35</definedName>
    <definedName name="dagfeb">[1]Maaned!$AG$5:$AG$33</definedName>
    <definedName name="dagjan">[1]Maaned!$AB$5:$AB$35</definedName>
    <definedName name="dagjul">[1]Maaned!$BF$5:$BF$35</definedName>
    <definedName name="dagjun">[1]Maaned!$BA$5:$BA$34</definedName>
    <definedName name="dagmaj">[1]Maaned!$AV$5:$AV$35</definedName>
    <definedName name="dagmar">[1]Maaned!$AL$5:$AL$35</definedName>
    <definedName name="dagnov">[1]Maaned!$R$5:$R$34</definedName>
    <definedName name="dagokt">[1]Maaned!$M$5:$M$35</definedName>
    <definedName name="dagsep">[1]Maaned!$H$5:$H$34</definedName>
    <definedName name="december" localSheetId="0">'Maaned 2024-2025'!$AF$5:$AF$35</definedName>
    <definedName name="December">#REF!</definedName>
    <definedName name="februar" localSheetId="0">'Maaned 2024-2025'!$AT$5:$AT$33</definedName>
    <definedName name="Februar">#REF!</definedName>
    <definedName name="fridageGrå" localSheetId="7">' ÅR 2024-2025 (ELEV)'!fridageGrå</definedName>
    <definedName name="fridageGrå" localSheetId="1">' ÅR 2024-2025 LÆRER '!fridageGrå</definedName>
    <definedName name="fridageGrå">[0]!fridageGrå</definedName>
    <definedName name="januar" localSheetId="0">'Maaned 2024-2025'!$AM$5:$AM$35</definedName>
    <definedName name="Januar">#REF!</definedName>
    <definedName name="juli" localSheetId="0">'Maaned 2024-2025'!$CC$5:$CC$35</definedName>
    <definedName name="Juli">#REF!</definedName>
    <definedName name="juni" localSheetId="0">'Maaned 2024-2025'!$BV$5:$BV$34</definedName>
    <definedName name="Juni">#REF!</definedName>
    <definedName name="maj" localSheetId="0">'Maaned 2024-2025'!$BO$5:$BO$35</definedName>
    <definedName name="Maj">#REF!</definedName>
    <definedName name="marts" localSheetId="0">'Maaned 2024-2025'!$BA$5:$BA$35</definedName>
    <definedName name="Marts">#REF!</definedName>
    <definedName name="november" localSheetId="0">'Maaned 2024-2025'!$Y$5:$Y$34</definedName>
    <definedName name="November">#REF!</definedName>
    <definedName name="oktober" localSheetId="0">'Maaned 2024-2025'!$R$5:$R$35</definedName>
    <definedName name="Oktober">#REF!</definedName>
    <definedName name="september" localSheetId="0">'Maaned 2024-2025'!$K$5:$K$34</definedName>
    <definedName name="SEPTEMBER">#REF!</definedName>
    <definedName name="skolenavn">#REF!</definedName>
    <definedName name="_xlnm.Print_Area" localSheetId="0">'Maaned 2024-2025'!$B$1:$CK$46</definedName>
    <definedName name="Ugenr" localSheetId="7">' ÅR 2024-2025 (ELEV)'!Ugenr</definedName>
    <definedName name="Ugenr" localSheetId="1">' ÅR 2024-2025 LÆRER '!Ugenr</definedName>
    <definedName name="Ugenr">[0]!Ugenr</definedName>
    <definedName name="Årstal" localSheetId="0">1996</definedName>
    <definedName name="årstal">1997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34" i="50" l="1"/>
  <c r="Y34" i="49"/>
  <c r="AW34" i="48"/>
  <c r="A1" i="48"/>
  <c r="AW34" i="47"/>
  <c r="A1" i="47"/>
  <c r="Y34" i="42" l="1"/>
  <c r="Y34" i="41"/>
  <c r="AU37" i="22"/>
  <c r="E37" i="22"/>
  <c r="BT117" i="22"/>
  <c r="BM117" i="22"/>
  <c r="AY117" i="22"/>
  <c r="AD117" i="22"/>
  <c r="W117" i="22"/>
  <c r="I117" i="22"/>
  <c r="B117" i="22"/>
  <c r="CA116" i="22"/>
  <c r="BT116" i="22"/>
  <c r="BM116" i="22"/>
  <c r="BF116" i="22"/>
  <c r="AY116" i="22"/>
  <c r="AR116" i="22"/>
  <c r="AK116" i="22"/>
  <c r="AD116" i="22"/>
  <c r="W116" i="22"/>
  <c r="P116" i="22"/>
  <c r="I116" i="22"/>
  <c r="B116" i="22"/>
  <c r="CA115" i="22"/>
  <c r="BT115" i="22"/>
  <c r="BM115" i="22"/>
  <c r="BF115" i="22"/>
  <c r="AY115" i="22"/>
  <c r="AR115" i="22"/>
  <c r="AK115" i="22"/>
  <c r="AD115" i="22"/>
  <c r="W115" i="22"/>
  <c r="P115" i="22"/>
  <c r="I115" i="22"/>
  <c r="B115" i="22"/>
  <c r="CA114" i="22"/>
  <c r="BT114" i="22"/>
  <c r="BM114" i="22"/>
  <c r="BF114" i="22"/>
  <c r="AY114" i="22"/>
  <c r="AR114" i="22"/>
  <c r="AK114" i="22"/>
  <c r="AD114" i="22"/>
  <c r="W114" i="22"/>
  <c r="P114" i="22"/>
  <c r="I114" i="22"/>
  <c r="B114" i="22"/>
  <c r="CA113" i="22"/>
  <c r="BT113" i="22"/>
  <c r="BM113" i="22"/>
  <c r="BF113" i="22"/>
  <c r="AY113" i="22"/>
  <c r="AR113" i="22"/>
  <c r="AK113" i="22"/>
  <c r="AD113" i="22"/>
  <c r="W113" i="22"/>
  <c r="P113" i="22"/>
  <c r="I113" i="22"/>
  <c r="B113" i="22"/>
  <c r="BT111" i="22"/>
  <c r="BM111" i="22"/>
  <c r="AY111" i="22"/>
  <c r="AD111" i="22"/>
  <c r="W111" i="22"/>
  <c r="I111" i="22"/>
  <c r="B111" i="22"/>
  <c r="CA110" i="22"/>
  <c r="BT110" i="22"/>
  <c r="BM110" i="22"/>
  <c r="BF110" i="22"/>
  <c r="AY110" i="22"/>
  <c r="AR110" i="22"/>
  <c r="AK110" i="22"/>
  <c r="AD110" i="22"/>
  <c r="W110" i="22"/>
  <c r="P110" i="22"/>
  <c r="I110" i="22"/>
  <c r="B110" i="22"/>
  <c r="CA109" i="22"/>
  <c r="BT109" i="22"/>
  <c r="BM109" i="22"/>
  <c r="BF109" i="22"/>
  <c r="AY109" i="22"/>
  <c r="AR109" i="22"/>
  <c r="AK109" i="22"/>
  <c r="AD109" i="22"/>
  <c r="W109" i="22"/>
  <c r="P109" i="22"/>
  <c r="I109" i="22"/>
  <c r="B109" i="22"/>
  <c r="CA108" i="22"/>
  <c r="BT108" i="22"/>
  <c r="BM108" i="22"/>
  <c r="BF108" i="22"/>
  <c r="AY108" i="22"/>
  <c r="AR108" i="22"/>
  <c r="AK108" i="22"/>
  <c r="AD108" i="22"/>
  <c r="W108" i="22"/>
  <c r="P108" i="22"/>
  <c r="I108" i="22"/>
  <c r="B108" i="22"/>
  <c r="CA107" i="22"/>
  <c r="BT107" i="22"/>
  <c r="BM107" i="22"/>
  <c r="BF107" i="22"/>
  <c r="AY107" i="22"/>
  <c r="AR107" i="22"/>
  <c r="AK107" i="22"/>
  <c r="AD107" i="22"/>
  <c r="W107" i="22"/>
  <c r="P107" i="22"/>
  <c r="I107" i="22"/>
  <c r="B107" i="22"/>
  <c r="BT105" i="22"/>
  <c r="BM105" i="22"/>
  <c r="AY105" i="22"/>
  <c r="AD105" i="22"/>
  <c r="W105" i="22"/>
  <c r="I105" i="22"/>
  <c r="B105" i="22"/>
  <c r="CA104" i="22"/>
  <c r="BT104" i="22"/>
  <c r="BM104" i="22"/>
  <c r="BF104" i="22"/>
  <c r="AY104" i="22"/>
  <c r="AR104" i="22"/>
  <c r="AK104" i="22"/>
  <c r="AD104" i="22"/>
  <c r="W104" i="22"/>
  <c r="P104" i="22"/>
  <c r="I104" i="22"/>
  <c r="B104" i="22"/>
  <c r="CA103" i="22"/>
  <c r="BT103" i="22"/>
  <c r="BM103" i="22"/>
  <c r="BF103" i="22"/>
  <c r="AY103" i="22"/>
  <c r="AR103" i="22"/>
  <c r="AK103" i="22"/>
  <c r="AD103" i="22"/>
  <c r="W103" i="22"/>
  <c r="P103" i="22"/>
  <c r="I103" i="22"/>
  <c r="B103" i="22"/>
  <c r="CA102" i="22"/>
  <c r="BT102" i="22"/>
  <c r="BM102" i="22"/>
  <c r="BF102" i="22"/>
  <c r="AY102" i="22"/>
  <c r="AR102" i="22"/>
  <c r="AK102" i="22"/>
  <c r="AD102" i="22"/>
  <c r="W102" i="22"/>
  <c r="P102" i="22"/>
  <c r="I102" i="22"/>
  <c r="B102" i="22"/>
  <c r="CA101" i="22"/>
  <c r="BT101" i="22"/>
  <c r="BM101" i="22"/>
  <c r="BF101" i="22"/>
  <c r="AY101" i="22"/>
  <c r="AR101" i="22"/>
  <c r="AK101" i="22"/>
  <c r="AD101" i="22"/>
  <c r="W101" i="22"/>
  <c r="P101" i="22"/>
  <c r="I101" i="22"/>
  <c r="B101" i="22"/>
  <c r="BT99" i="22"/>
  <c r="BM99" i="22"/>
  <c r="AY99" i="22"/>
  <c r="AD99" i="22"/>
  <c r="W99" i="22"/>
  <c r="I99" i="22"/>
  <c r="B99" i="22"/>
  <c r="CA98" i="22"/>
  <c r="BT98" i="22"/>
  <c r="BM98" i="22"/>
  <c r="BF98" i="22"/>
  <c r="AY98" i="22"/>
  <c r="AR98" i="22"/>
  <c r="AK98" i="22"/>
  <c r="AD98" i="22"/>
  <c r="W98" i="22"/>
  <c r="P98" i="22"/>
  <c r="I98" i="22"/>
  <c r="B98" i="22"/>
  <c r="CA97" i="22"/>
  <c r="BT97" i="22"/>
  <c r="BM97" i="22"/>
  <c r="BF97" i="22"/>
  <c r="AY97" i="22"/>
  <c r="AR97" i="22"/>
  <c r="AK97" i="22"/>
  <c r="AD97" i="22"/>
  <c r="W97" i="22"/>
  <c r="P97" i="22"/>
  <c r="I97" i="22"/>
  <c r="B97" i="22"/>
  <c r="CA96" i="22"/>
  <c r="BT96" i="22"/>
  <c r="BM96" i="22"/>
  <c r="BF96" i="22"/>
  <c r="AY96" i="22"/>
  <c r="AR96" i="22"/>
  <c r="AK96" i="22"/>
  <c r="AD96" i="22"/>
  <c r="W96" i="22"/>
  <c r="P96" i="22"/>
  <c r="I96" i="22"/>
  <c r="B96" i="22"/>
  <c r="CA95" i="22"/>
  <c r="BT95" i="22"/>
  <c r="BM95" i="22"/>
  <c r="BF95" i="22"/>
  <c r="AY95" i="22"/>
  <c r="AR95" i="22"/>
  <c r="AK95" i="22"/>
  <c r="AD95" i="22"/>
  <c r="W95" i="22"/>
  <c r="P95" i="22"/>
  <c r="I95" i="22"/>
  <c r="B95" i="22"/>
  <c r="BT93" i="22"/>
  <c r="BM93" i="22"/>
  <c r="AY93" i="22"/>
  <c r="AD93" i="22"/>
  <c r="W93" i="22"/>
  <c r="I93" i="22"/>
  <c r="B93" i="22"/>
  <c r="CA92" i="22"/>
  <c r="BT92" i="22"/>
  <c r="BM92" i="22"/>
  <c r="BF92" i="22"/>
  <c r="AY92" i="22"/>
  <c r="AR92" i="22"/>
  <c r="AK92" i="22"/>
  <c r="AD92" i="22"/>
  <c r="W92" i="22"/>
  <c r="P92" i="22"/>
  <c r="I92" i="22"/>
  <c r="B92" i="22"/>
  <c r="CA91" i="22"/>
  <c r="BT91" i="22"/>
  <c r="BM91" i="22"/>
  <c r="BF91" i="22"/>
  <c r="AY91" i="22"/>
  <c r="AR91" i="22"/>
  <c r="AK91" i="22"/>
  <c r="AD91" i="22"/>
  <c r="W91" i="22"/>
  <c r="P91" i="22"/>
  <c r="I91" i="22"/>
  <c r="B91" i="22"/>
  <c r="CA90" i="22"/>
  <c r="BT90" i="22"/>
  <c r="BM90" i="22"/>
  <c r="BF90" i="22"/>
  <c r="AY90" i="22"/>
  <c r="AR90" i="22"/>
  <c r="AK90" i="22"/>
  <c r="AD90" i="22"/>
  <c r="W90" i="22"/>
  <c r="P90" i="22"/>
  <c r="I90" i="22"/>
  <c r="B90" i="22"/>
  <c r="CA89" i="22"/>
  <c r="BT89" i="22"/>
  <c r="BM89" i="22"/>
  <c r="BF89" i="22"/>
  <c r="AY89" i="22"/>
  <c r="AR89" i="22"/>
  <c r="AK89" i="22"/>
  <c r="AD89" i="22"/>
  <c r="W89" i="22"/>
  <c r="P89" i="22"/>
  <c r="I89" i="22"/>
  <c r="B89" i="22"/>
  <c r="BT87" i="22"/>
  <c r="BM87" i="22"/>
  <c r="AY87" i="22"/>
  <c r="AD87" i="22"/>
  <c r="W87" i="22"/>
  <c r="I87" i="22"/>
  <c r="B87" i="22"/>
  <c r="CA86" i="22"/>
  <c r="BT86" i="22"/>
  <c r="BM86" i="22"/>
  <c r="BF86" i="22"/>
  <c r="AY86" i="22"/>
  <c r="AR86" i="22"/>
  <c r="AK86" i="22"/>
  <c r="AD86" i="22"/>
  <c r="W86" i="22"/>
  <c r="P86" i="22"/>
  <c r="I86" i="22"/>
  <c r="B86" i="22"/>
  <c r="CA85" i="22"/>
  <c r="BT85" i="22"/>
  <c r="BM85" i="22"/>
  <c r="BF85" i="22"/>
  <c r="AY85" i="22"/>
  <c r="AR85" i="22"/>
  <c r="AK85" i="22"/>
  <c r="AD85" i="22"/>
  <c r="W85" i="22"/>
  <c r="P85" i="22"/>
  <c r="I85" i="22"/>
  <c r="B85" i="22"/>
  <c r="CA84" i="22"/>
  <c r="BT84" i="22"/>
  <c r="BM84" i="22"/>
  <c r="BF84" i="22"/>
  <c r="AY84" i="22"/>
  <c r="AR84" i="22"/>
  <c r="AK84" i="22"/>
  <c r="AD84" i="22"/>
  <c r="W84" i="22"/>
  <c r="P84" i="22"/>
  <c r="I84" i="22"/>
  <c r="B84" i="22"/>
  <c r="CA83" i="22"/>
  <c r="BT83" i="22"/>
  <c r="BM83" i="22"/>
  <c r="BF83" i="22"/>
  <c r="AY83" i="22"/>
  <c r="AR83" i="22"/>
  <c r="AK83" i="22"/>
  <c r="AD83" i="22"/>
  <c r="W83" i="22"/>
  <c r="P83" i="22"/>
  <c r="I83" i="22"/>
  <c r="B83" i="22"/>
  <c r="BT81" i="22"/>
  <c r="BM81" i="22"/>
  <c r="AY81" i="22"/>
  <c r="AD81" i="22"/>
  <c r="W81" i="22"/>
  <c r="I81" i="22"/>
  <c r="B81" i="22"/>
  <c r="CA80" i="22"/>
  <c r="BT80" i="22"/>
  <c r="BM80" i="22"/>
  <c r="BF80" i="22"/>
  <c r="AY80" i="22"/>
  <c r="AR80" i="22"/>
  <c r="AK80" i="22"/>
  <c r="AD80" i="22"/>
  <c r="W80" i="22"/>
  <c r="P80" i="22"/>
  <c r="I80" i="22"/>
  <c r="B80" i="22"/>
  <c r="CA79" i="22"/>
  <c r="BT79" i="22"/>
  <c r="BM79" i="22"/>
  <c r="BF79" i="22"/>
  <c r="AY79" i="22"/>
  <c r="AR79" i="22"/>
  <c r="AK79" i="22"/>
  <c r="AD79" i="22"/>
  <c r="W79" i="22"/>
  <c r="P79" i="22"/>
  <c r="I79" i="22"/>
  <c r="B79" i="22"/>
  <c r="CA78" i="22"/>
  <c r="BT78" i="22"/>
  <c r="BM78" i="22"/>
  <c r="BF78" i="22"/>
  <c r="AY78" i="22"/>
  <c r="AR78" i="22"/>
  <c r="AK78" i="22"/>
  <c r="AD78" i="22"/>
  <c r="W78" i="22"/>
  <c r="P78" i="22"/>
  <c r="I78" i="22"/>
  <c r="B78" i="22"/>
  <c r="CA77" i="22"/>
  <c r="BT77" i="22"/>
  <c r="BM77" i="22"/>
  <c r="BF77" i="22"/>
  <c r="AY77" i="22"/>
  <c r="AR77" i="22"/>
  <c r="AK77" i="22"/>
  <c r="AD77" i="22"/>
  <c r="W77" i="22"/>
  <c r="P77" i="22"/>
  <c r="I77" i="22"/>
  <c r="B77" i="22"/>
  <c r="BT75" i="22"/>
  <c r="BM75" i="22"/>
  <c r="AY75" i="22"/>
  <c r="AD75" i="22"/>
  <c r="W75" i="22"/>
  <c r="I75" i="22"/>
  <c r="B75" i="22"/>
  <c r="CA74" i="22"/>
  <c r="BT74" i="22"/>
  <c r="BM74" i="22"/>
  <c r="BF74" i="22"/>
  <c r="AY74" i="22"/>
  <c r="AR74" i="22"/>
  <c r="AK74" i="22"/>
  <c r="AD74" i="22"/>
  <c r="W74" i="22"/>
  <c r="P74" i="22"/>
  <c r="I74" i="22"/>
  <c r="B74" i="22"/>
  <c r="CA73" i="22"/>
  <c r="BT73" i="22"/>
  <c r="BM73" i="22"/>
  <c r="BF73" i="22"/>
  <c r="AY73" i="22"/>
  <c r="AR73" i="22"/>
  <c r="AK73" i="22"/>
  <c r="AD73" i="22"/>
  <c r="W73" i="22"/>
  <c r="P73" i="22"/>
  <c r="I73" i="22"/>
  <c r="B73" i="22"/>
  <c r="CA72" i="22"/>
  <c r="BT72" i="22"/>
  <c r="BM72" i="22"/>
  <c r="BF72" i="22"/>
  <c r="AY72" i="22"/>
  <c r="AR72" i="22"/>
  <c r="AK72" i="22"/>
  <c r="AD72" i="22"/>
  <c r="W72" i="22"/>
  <c r="P72" i="22"/>
  <c r="I72" i="22"/>
  <c r="B72" i="22"/>
  <c r="CA71" i="22"/>
  <c r="BT71" i="22"/>
  <c r="BM71" i="22"/>
  <c r="BF71" i="22"/>
  <c r="AY71" i="22"/>
  <c r="AR71" i="22"/>
  <c r="AK71" i="22"/>
  <c r="AD71" i="22"/>
  <c r="W71" i="22"/>
  <c r="P71" i="22"/>
  <c r="I71" i="22"/>
  <c r="B71" i="22"/>
  <c r="CA68" i="22"/>
  <c r="CA67" i="22"/>
  <c r="CA66" i="22"/>
  <c r="CA65" i="22"/>
  <c r="BT69" i="22"/>
  <c r="BT68" i="22"/>
  <c r="BT67" i="22"/>
  <c r="BT66" i="22"/>
  <c r="BT65" i="22"/>
  <c r="BM69" i="22"/>
  <c r="BM68" i="22"/>
  <c r="BM67" i="22"/>
  <c r="BM66" i="22"/>
  <c r="BM65" i="22"/>
  <c r="BF68" i="22"/>
  <c r="BF67" i="22"/>
  <c r="BF66" i="22"/>
  <c r="BF65" i="22"/>
  <c r="AY69" i="22"/>
  <c r="AY68" i="22"/>
  <c r="AY67" i="22"/>
  <c r="AY66" i="22"/>
  <c r="AY65" i="22"/>
  <c r="AR68" i="22"/>
  <c r="AR67" i="22"/>
  <c r="AR66" i="22"/>
  <c r="AR65" i="22"/>
  <c r="AK68" i="22"/>
  <c r="AK67" i="22"/>
  <c r="AK66" i="22"/>
  <c r="AK65" i="22"/>
  <c r="AD69" i="22"/>
  <c r="AD68" i="22"/>
  <c r="AD67" i="22"/>
  <c r="AD66" i="22"/>
  <c r="AD65" i="22"/>
  <c r="W69" i="22"/>
  <c r="W68" i="22"/>
  <c r="W67" i="22"/>
  <c r="W66" i="22"/>
  <c r="W65" i="22"/>
  <c r="P68" i="22"/>
  <c r="P67" i="22"/>
  <c r="P66" i="22"/>
  <c r="P65" i="22"/>
  <c r="I69" i="22"/>
  <c r="I68" i="22"/>
  <c r="I67" i="22"/>
  <c r="I66" i="22"/>
  <c r="I65" i="22"/>
  <c r="B69" i="22"/>
  <c r="B68" i="22"/>
  <c r="B67" i="22"/>
  <c r="B66" i="22"/>
  <c r="B65" i="22"/>
  <c r="AU44" i="22" l="1"/>
  <c r="AU41" i="22"/>
  <c r="AU39" i="22"/>
  <c r="AU38" i="22"/>
  <c r="CI65" i="22" l="1"/>
  <c r="CI70" i="22"/>
  <c r="CI76" i="22"/>
  <c r="CI82" i="22"/>
  <c r="CI88" i="22"/>
  <c r="CI94" i="22"/>
  <c r="CI100" i="22"/>
  <c r="CI106" i="22"/>
  <c r="CI112" i="22"/>
  <c r="CA118" i="22" l="1"/>
  <c r="BT118" i="22"/>
  <c r="BM118" i="22"/>
  <c r="BF118" i="22"/>
  <c r="CI117" i="22"/>
  <c r="E38" i="22"/>
  <c r="AG37" i="22"/>
  <c r="AN37" i="22"/>
  <c r="BB37" i="22"/>
  <c r="BI37" i="22"/>
  <c r="BP37" i="22"/>
  <c r="BW37" i="22"/>
  <c r="CD37" i="22"/>
  <c r="CD48" i="22"/>
  <c r="CD47" i="22"/>
  <c r="CD46" i="22"/>
  <c r="CD45" i="22"/>
  <c r="CD44" i="22"/>
  <c r="CD43" i="22"/>
  <c r="CD42" i="22"/>
  <c r="CD41" i="22"/>
  <c r="CD40" i="22"/>
  <c r="CD39" i="22"/>
  <c r="CD38" i="22"/>
  <c r="BW48" i="22"/>
  <c r="BW47" i="22"/>
  <c r="BW46" i="22"/>
  <c r="BW45" i="22"/>
  <c r="BW44" i="22"/>
  <c r="BW43" i="22"/>
  <c r="BW42" i="22"/>
  <c r="BW41" i="22"/>
  <c r="BW40" i="22"/>
  <c r="BW39" i="22"/>
  <c r="BW38" i="22"/>
  <c r="BP38" i="22"/>
  <c r="BP48" i="22"/>
  <c r="BP47" i="22"/>
  <c r="BP46" i="22"/>
  <c r="BP45" i="22"/>
  <c r="BP44" i="22"/>
  <c r="BP43" i="22"/>
  <c r="BP42" i="22"/>
  <c r="BP41" i="22"/>
  <c r="BP40" i="22"/>
  <c r="BP39" i="22"/>
  <c r="BI48" i="22"/>
  <c r="BI47" i="22"/>
  <c r="BI46" i="22"/>
  <c r="BI45" i="22"/>
  <c r="BI44" i="22"/>
  <c r="BI43" i="22"/>
  <c r="BI42" i="22"/>
  <c r="BI41" i="22"/>
  <c r="BI40" i="22"/>
  <c r="BI39" i="22"/>
  <c r="BI38" i="22"/>
  <c r="BB48" i="22"/>
  <c r="BB47" i="22"/>
  <c r="BB46" i="22"/>
  <c r="BB45" i="22"/>
  <c r="BB44" i="22"/>
  <c r="BB43" i="22"/>
  <c r="BB42" i="22"/>
  <c r="BB41" i="22"/>
  <c r="BB40" i="22"/>
  <c r="BB39" i="22"/>
  <c r="BB38" i="22"/>
  <c r="AU48" i="22"/>
  <c r="AU47" i="22"/>
  <c r="AU46" i="22"/>
  <c r="AU45" i="22"/>
  <c r="AU43" i="22"/>
  <c r="AU42" i="22"/>
  <c r="AU40" i="22"/>
  <c r="AN48" i="22"/>
  <c r="AN47" i="22"/>
  <c r="AN46" i="22"/>
  <c r="AN45" i="22"/>
  <c r="AN44" i="22"/>
  <c r="AN43" i="22"/>
  <c r="AN42" i="22"/>
  <c r="AN41" i="22"/>
  <c r="AN40" i="22"/>
  <c r="AN39" i="22"/>
  <c r="AN38" i="22"/>
  <c r="AG38" i="22"/>
  <c r="AG48" i="22"/>
  <c r="AG47" i="22"/>
  <c r="AG46" i="22"/>
  <c r="AG45" i="22"/>
  <c r="AG44" i="22"/>
  <c r="AG43" i="22"/>
  <c r="AG42" i="22"/>
  <c r="AG41" i="22"/>
  <c r="AG40" i="22"/>
  <c r="AG39" i="22"/>
  <c r="Z37" i="22"/>
  <c r="Z48" i="22"/>
  <c r="Z47" i="22"/>
  <c r="Z46" i="22"/>
  <c r="Z45" i="22"/>
  <c r="Z44" i="22"/>
  <c r="Z43" i="22"/>
  <c r="Z42" i="22"/>
  <c r="Z41" i="22"/>
  <c r="Z40" i="22"/>
  <c r="Z39" i="22"/>
  <c r="Z38" i="22"/>
  <c r="CI99" i="22" l="1"/>
  <c r="AD118" i="22"/>
  <c r="P118" i="22"/>
  <c r="I119" i="22"/>
  <c r="CI69" i="22"/>
  <c r="CI75" i="22"/>
  <c r="CI105" i="22"/>
  <c r="CI111" i="22"/>
  <c r="W118" i="22"/>
  <c r="AK118" i="22"/>
  <c r="CI81" i="22"/>
  <c r="CI87" i="22"/>
  <c r="CI93" i="22"/>
  <c r="CD49" i="22"/>
  <c r="CD50" i="22" s="1"/>
  <c r="AG49" i="22"/>
  <c r="AG50" i="22" s="1"/>
  <c r="AN49" i="22"/>
  <c r="AN50" i="22" s="1"/>
  <c r="AU49" i="22"/>
  <c r="BI49" i="22"/>
  <c r="BI50" i="22" s="1"/>
  <c r="BP49" i="22"/>
  <c r="BP50" i="22" s="1"/>
  <c r="BW49" i="22"/>
  <c r="BW50" i="22" s="1"/>
  <c r="Z49" i="22"/>
  <c r="BB49" i="22"/>
  <c r="S48" i="22"/>
  <c r="S47" i="22"/>
  <c r="S46" i="22"/>
  <c r="S45" i="22"/>
  <c r="S44" i="22"/>
  <c r="S43" i="22"/>
  <c r="S42" i="22"/>
  <c r="S41" i="22"/>
  <c r="S40" i="22"/>
  <c r="S39" i="22"/>
  <c r="S38" i="22"/>
  <c r="S37" i="22"/>
  <c r="L48" i="22"/>
  <c r="L47" i="22"/>
  <c r="L46" i="22"/>
  <c r="L45" i="22"/>
  <c r="L44" i="22"/>
  <c r="L43" i="22"/>
  <c r="L42" i="22"/>
  <c r="L41" i="22"/>
  <c r="L40" i="22"/>
  <c r="L39" i="22"/>
  <c r="L38" i="22"/>
  <c r="L37" i="22"/>
  <c r="I55" i="22"/>
  <c r="I54" i="22"/>
  <c r="I53" i="22"/>
  <c r="I52" i="22"/>
  <c r="B55" i="22"/>
  <c r="B54" i="22"/>
  <c r="B53" i="22"/>
  <c r="B52" i="22"/>
  <c r="E40" i="22"/>
  <c r="E39" i="22"/>
  <c r="CI114" i="22" l="1"/>
  <c r="CI102" i="22"/>
  <c r="CI116" i="22"/>
  <c r="CI115" i="22"/>
  <c r="CI90" i="22"/>
  <c r="CI78" i="22"/>
  <c r="AY118" i="22"/>
  <c r="BB50" i="22" s="1"/>
  <c r="AR118" i="22"/>
  <c r="AU50" i="22" s="1"/>
  <c r="B119" i="22"/>
  <c r="CI86" i="22"/>
  <c r="CI74" i="22"/>
  <c r="CI98" i="22"/>
  <c r="CI110" i="22"/>
  <c r="CI67" i="22"/>
  <c r="CI72" i="22"/>
  <c r="CI84" i="22"/>
  <c r="CI96" i="22"/>
  <c r="CI108" i="22"/>
  <c r="CI73" i="22"/>
  <c r="CI85" i="22"/>
  <c r="CI97" i="22"/>
  <c r="CI109" i="22"/>
  <c r="CI66" i="22"/>
  <c r="CI68" i="22"/>
  <c r="CI80" i="22"/>
  <c r="CI92" i="22"/>
  <c r="CI104" i="22"/>
  <c r="Z50" i="22"/>
  <c r="CI77" i="22"/>
  <c r="CI89" i="22"/>
  <c r="CI101" i="22"/>
  <c r="CI113" i="22"/>
  <c r="CI79" i="22"/>
  <c r="CI91" i="22"/>
  <c r="CI103" i="22"/>
  <c r="CI71" i="22"/>
  <c r="CI83" i="22"/>
  <c r="CI95" i="22"/>
  <c r="CI107" i="22"/>
  <c r="S49" i="22"/>
  <c r="S50" i="22" s="1"/>
  <c r="L49" i="22"/>
  <c r="L50" i="22" s="1"/>
  <c r="E46" i="22"/>
  <c r="CK119" i="22" l="1"/>
  <c r="CI118" i="22"/>
  <c r="CJ30" i="22" s="1"/>
  <c r="CJ32" i="22"/>
  <c r="CI56" i="22" l="1"/>
  <c r="CI57" i="22" s="1"/>
  <c r="CI58" i="22" s="1"/>
  <c r="CI59" i="22" s="1"/>
  <c r="CI50" i="22"/>
  <c r="CI51" i="22" s="1"/>
  <c r="CI52" i="22" s="1"/>
  <c r="CI53" i="22" s="1"/>
  <c r="CI44" i="22"/>
  <c r="CI45" i="22" s="1"/>
  <c r="CI46" i="22" s="1"/>
  <c r="CI47" i="22" s="1"/>
  <c r="CI38" i="22"/>
  <c r="CI39" i="22" s="1"/>
  <c r="CI40" i="22" l="1"/>
  <c r="CI41" i="22" l="1"/>
  <c r="E48" i="22" l="1"/>
  <c r="CJ34" i="22" s="1"/>
  <c r="E43" i="22"/>
  <c r="CJ28" i="22" s="1"/>
  <c r="E42" i="22"/>
  <c r="CJ27" i="22" s="1"/>
  <c r="E41" i="22"/>
  <c r="E44" i="22"/>
  <c r="CJ29" i="22" s="1"/>
  <c r="E45" i="22"/>
  <c r="E47" i="22"/>
  <c r="CJ33" i="22" s="1"/>
  <c r="B3" i="22"/>
  <c r="CA5" i="22"/>
  <c r="CA6" i="22" s="1"/>
  <c r="CA7" i="22" s="1"/>
  <c r="CA8" i="22" s="1"/>
  <c r="BM5" i="22"/>
  <c r="BM6" i="22" s="1"/>
  <c r="BM7" i="22" s="1"/>
  <c r="BM8" i="22" s="1"/>
  <c r="BM9" i="22" s="1"/>
  <c r="BM10" i="22" s="1"/>
  <c r="BM11" i="22" s="1"/>
  <c r="BM12" i="22" s="1"/>
  <c r="BM13" i="22" s="1"/>
  <c r="BM14" i="22" s="1"/>
  <c r="BM15" i="22" s="1"/>
  <c r="AY5" i="22"/>
  <c r="BT5" i="22"/>
  <c r="BT6" i="22" s="1"/>
  <c r="BT7" i="22" s="1"/>
  <c r="BT8" i="22" s="1"/>
  <c r="BT9" i="22" s="1"/>
  <c r="BT10" i="22" s="1"/>
  <c r="BT11" i="22" s="1"/>
  <c r="BT12" i="22" s="1"/>
  <c r="BT13" i="22" s="1"/>
  <c r="BT14" i="22" s="1"/>
  <c r="BF5" i="22"/>
  <c r="BF6" i="22" s="1"/>
  <c r="BF7" i="22" s="1"/>
  <c r="BF8" i="22" s="1"/>
  <c r="BF9" i="22" s="1"/>
  <c r="BF10" i="22" s="1"/>
  <c r="BF11" i="22" s="1"/>
  <c r="AR5" i="22"/>
  <c r="AR6" i="22" s="1"/>
  <c r="AR7" i="22" s="1"/>
  <c r="AD5" i="22"/>
  <c r="AD6" i="22" s="1"/>
  <c r="AK5" i="22"/>
  <c r="W5" i="22"/>
  <c r="W6" i="22" s="1"/>
  <c r="P5" i="22"/>
  <c r="I5" i="22"/>
  <c r="I6" i="22" s="1"/>
  <c r="B5" i="22"/>
  <c r="B6" i="22" s="1"/>
  <c r="B1" i="22"/>
  <c r="AD1" i="22" s="1"/>
  <c r="D20" i="2"/>
  <c r="H21" i="2" s="1"/>
  <c r="H25" i="2" s="1"/>
  <c r="H20" i="2"/>
  <c r="G20" i="2"/>
  <c r="F20" i="2"/>
  <c r="E20" i="2"/>
  <c r="E33" i="2" s="1"/>
  <c r="C4" i="2"/>
  <c r="C2" i="2"/>
  <c r="C3" i="2"/>
  <c r="E31" i="2"/>
  <c r="E32" i="2"/>
  <c r="E30" i="2"/>
  <c r="E26" i="2"/>
  <c r="CJ26" i="22" l="1"/>
  <c r="CJ31" i="22"/>
  <c r="I3" i="22"/>
  <c r="J5" i="22" s="1"/>
  <c r="BM16" i="22"/>
  <c r="BM17" i="22" s="1"/>
  <c r="BM18" i="22" s="1"/>
  <c r="BM19" i="22" s="1"/>
  <c r="BM20" i="22" s="1"/>
  <c r="P6" i="22"/>
  <c r="AD7" i="22"/>
  <c r="W7" i="22"/>
  <c r="CA9" i="22"/>
  <c r="C5" i="22"/>
  <c r="E49" i="22"/>
  <c r="E50" i="22" s="1"/>
  <c r="BF12" i="22"/>
  <c r="C6" i="22"/>
  <c r="AR8" i="22"/>
  <c r="BT15" i="22"/>
  <c r="BT16" i="22" s="1"/>
  <c r="BT17" i="22" s="1"/>
  <c r="BT18" i="22" s="1"/>
  <c r="BT19" i="22" s="1"/>
  <c r="AY6" i="22"/>
  <c r="CA1" i="22"/>
  <c r="AY1" i="22"/>
  <c r="W1" i="22"/>
  <c r="BT1" i="22"/>
  <c r="AR1" i="22"/>
  <c r="P1" i="22"/>
  <c r="BM1" i="22"/>
  <c r="AK1" i="22"/>
  <c r="I1" i="22"/>
  <c r="BF1" i="22"/>
  <c r="I7" i="22"/>
  <c r="B7" i="22"/>
  <c r="AK6" i="22"/>
  <c r="CJ35" i="22" l="1"/>
  <c r="J6" i="22"/>
  <c r="BM21" i="22"/>
  <c r="AD8" i="22"/>
  <c r="AD9" i="22" s="1"/>
  <c r="P3" i="22"/>
  <c r="Q6" i="22" s="1"/>
  <c r="P7" i="22"/>
  <c r="CA10" i="22"/>
  <c r="E5" i="22"/>
  <c r="L5" i="22"/>
  <c r="W8" i="22"/>
  <c r="AR9" i="22"/>
  <c r="E6" i="22"/>
  <c r="BF13" i="22"/>
  <c r="AY7" i="22"/>
  <c r="B8" i="22"/>
  <c r="C7" i="22"/>
  <c r="AK7" i="22"/>
  <c r="J7" i="22"/>
  <c r="I8" i="22"/>
  <c r="L6" i="22" l="1"/>
  <c r="P8" i="22"/>
  <c r="Q8" i="22" s="1"/>
  <c r="Q7" i="22"/>
  <c r="S7" i="22" s="1"/>
  <c r="W3" i="22"/>
  <c r="X8" i="22" s="1"/>
  <c r="Q5" i="22"/>
  <c r="S6" i="22"/>
  <c r="BM22" i="22"/>
  <c r="W9" i="22"/>
  <c r="CA11" i="22"/>
  <c r="BF14" i="22"/>
  <c r="AY8" i="22"/>
  <c r="AR10" i="22"/>
  <c r="J8" i="22"/>
  <c r="I9" i="22"/>
  <c r="E7" i="22"/>
  <c r="AD10" i="22"/>
  <c r="AK8" i="22"/>
  <c r="L7" i="22"/>
  <c r="C8" i="22"/>
  <c r="B9" i="22"/>
  <c r="P9" i="22" l="1"/>
  <c r="P10" i="22" s="1"/>
  <c r="S5" i="22"/>
  <c r="BM23" i="22"/>
  <c r="AD3" i="22"/>
  <c r="AE10" i="22" s="1"/>
  <c r="X7" i="22"/>
  <c r="X6" i="22"/>
  <c r="X5" i="22"/>
  <c r="W10" i="22"/>
  <c r="X9" i="22"/>
  <c r="Z8" i="22"/>
  <c r="CA12" i="22"/>
  <c r="BF15" i="22"/>
  <c r="BF16" i="22" s="1"/>
  <c r="BF17" i="22" s="1"/>
  <c r="BF18" i="22" s="1"/>
  <c r="BF19" i="22" s="1"/>
  <c r="AR11" i="22"/>
  <c r="AY9" i="22"/>
  <c r="J9" i="22"/>
  <c r="I10" i="22"/>
  <c r="AD11" i="22"/>
  <c r="L8" i="22"/>
  <c r="S8" i="22"/>
  <c r="B10" i="22"/>
  <c r="C9" i="22"/>
  <c r="E8" i="22"/>
  <c r="AK9" i="22"/>
  <c r="Q9" i="22" l="1"/>
  <c r="Z5" i="22"/>
  <c r="Z7" i="22"/>
  <c r="BM24" i="22"/>
  <c r="Z6" i="22"/>
  <c r="AE6" i="22"/>
  <c r="AE8" i="22"/>
  <c r="AK3" i="22"/>
  <c r="AL9" i="22" s="1"/>
  <c r="AE7" i="22"/>
  <c r="AE5" i="22"/>
  <c r="AE9" i="22"/>
  <c r="Z9" i="22"/>
  <c r="W11" i="22"/>
  <c r="X10" i="22"/>
  <c r="CA13" i="22"/>
  <c r="AR12" i="22"/>
  <c r="AY10" i="22"/>
  <c r="E9" i="22"/>
  <c r="AG10" i="22"/>
  <c r="J10" i="22"/>
  <c r="I11" i="22"/>
  <c r="AK10" i="22"/>
  <c r="C10" i="22"/>
  <c r="B11" i="22"/>
  <c r="AD12" i="22"/>
  <c r="AE11" i="22"/>
  <c r="Q10" i="22"/>
  <c r="P11" i="22"/>
  <c r="L9" i="22"/>
  <c r="S9" i="22" l="1"/>
  <c r="BM25" i="22"/>
  <c r="AG9" i="22"/>
  <c r="AG5" i="22"/>
  <c r="AG7" i="22"/>
  <c r="AL6" i="22"/>
  <c r="AY3" i="22"/>
  <c r="AZ10" i="22" s="1"/>
  <c r="BT3" i="22"/>
  <c r="BF3" i="22"/>
  <c r="AR3" i="22"/>
  <c r="BM3" i="22"/>
  <c r="AL7" i="22"/>
  <c r="CA3" i="22"/>
  <c r="CB13" i="22" s="1"/>
  <c r="AL5" i="22"/>
  <c r="AL8" i="22"/>
  <c r="AG8" i="22"/>
  <c r="AG6" i="22"/>
  <c r="CA14" i="22"/>
  <c r="X11" i="22"/>
  <c r="W12" i="22"/>
  <c r="Z10" i="22"/>
  <c r="AY11" i="22"/>
  <c r="AR13" i="22"/>
  <c r="BT20" i="22"/>
  <c r="E10" i="22"/>
  <c r="S10" i="22"/>
  <c r="AL10" i="22"/>
  <c r="AK11" i="22"/>
  <c r="J11" i="22"/>
  <c r="I12" i="22"/>
  <c r="AG11" i="22"/>
  <c r="AN9" i="22"/>
  <c r="L10" i="22"/>
  <c r="P12" i="22"/>
  <c r="Q11" i="22"/>
  <c r="AD13" i="22"/>
  <c r="AE12" i="22"/>
  <c r="B12" i="22"/>
  <c r="C11" i="22"/>
  <c r="AS12" i="22" l="1"/>
  <c r="AU33" i="22"/>
  <c r="AS7" i="22"/>
  <c r="AS8" i="22"/>
  <c r="AS5" i="22"/>
  <c r="AS9" i="22"/>
  <c r="AS10" i="22"/>
  <c r="AS6" i="22"/>
  <c r="AS11" i="22"/>
  <c r="AN6" i="22"/>
  <c r="BN16" i="22"/>
  <c r="BN19" i="22"/>
  <c r="BN18" i="22"/>
  <c r="BN17" i="22"/>
  <c r="BN15" i="22"/>
  <c r="BN25" i="22"/>
  <c r="BN6" i="22"/>
  <c r="BN10" i="22"/>
  <c r="BN11" i="22"/>
  <c r="BN22" i="22"/>
  <c r="BN24" i="22"/>
  <c r="BN7" i="22"/>
  <c r="BN8" i="22"/>
  <c r="BN20" i="22"/>
  <c r="BN13" i="22"/>
  <c r="BN14" i="22"/>
  <c r="BN23" i="22"/>
  <c r="BN21" i="22"/>
  <c r="BN9" i="22"/>
  <c r="BN5" i="22"/>
  <c r="BN12" i="22"/>
  <c r="BG16" i="22"/>
  <c r="BI16" i="22" s="1"/>
  <c r="BG18" i="22"/>
  <c r="BI18" i="22" s="1"/>
  <c r="BG17" i="22"/>
  <c r="BI17" i="22" s="1"/>
  <c r="BG19" i="22"/>
  <c r="BI19" i="22" s="1"/>
  <c r="BG8" i="22"/>
  <c r="BG11" i="22"/>
  <c r="BG12" i="22"/>
  <c r="BG9" i="22"/>
  <c r="BG14" i="22"/>
  <c r="BG7" i="22"/>
  <c r="BG5" i="22"/>
  <c r="BG13" i="22"/>
  <c r="BG10" i="22"/>
  <c r="BG6" i="22"/>
  <c r="BG15" i="22"/>
  <c r="BU17" i="22"/>
  <c r="BU19" i="22"/>
  <c r="BW19" i="22" s="1"/>
  <c r="BU18" i="22"/>
  <c r="BU16" i="22"/>
  <c r="BU8" i="22"/>
  <c r="BU15" i="22"/>
  <c r="BU14" i="22"/>
  <c r="BU12" i="22"/>
  <c r="BU7" i="22"/>
  <c r="BU9" i="22"/>
  <c r="BU5" i="22"/>
  <c r="BU11" i="22"/>
  <c r="BU6" i="22"/>
  <c r="BU10" i="22"/>
  <c r="BU13" i="22"/>
  <c r="AN8" i="22"/>
  <c r="AZ8" i="22"/>
  <c r="AZ7" i="22"/>
  <c r="AZ6" i="22"/>
  <c r="AZ5" i="22"/>
  <c r="AZ9" i="22"/>
  <c r="AN5" i="22"/>
  <c r="CB7" i="22"/>
  <c r="CB10" i="22"/>
  <c r="CB9" i="22"/>
  <c r="CB5" i="22"/>
  <c r="CB12" i="22"/>
  <c r="CB8" i="22"/>
  <c r="CB11" i="22"/>
  <c r="CB6" i="22"/>
  <c r="AN7" i="22"/>
  <c r="BM26" i="22"/>
  <c r="Z11" i="22"/>
  <c r="CD13" i="22"/>
  <c r="X12" i="22"/>
  <c r="W13" i="22"/>
  <c r="CA15" i="22"/>
  <c r="CA16" i="22" s="1"/>
  <c r="CA17" i="22" s="1"/>
  <c r="CA18" i="22" s="1"/>
  <c r="CA19" i="22" s="1"/>
  <c r="CB19" i="22" s="1"/>
  <c r="CD19" i="22" s="1"/>
  <c r="CB14" i="22"/>
  <c r="AY12" i="22"/>
  <c r="AZ11" i="22"/>
  <c r="BB10" i="22"/>
  <c r="AU12" i="22"/>
  <c r="BT21" i="22"/>
  <c r="BU20" i="22"/>
  <c r="AR14" i="22"/>
  <c r="AS13" i="22"/>
  <c r="AD14" i="22"/>
  <c r="AE13" i="22"/>
  <c r="S11" i="22"/>
  <c r="L11" i="22"/>
  <c r="AN10" i="22"/>
  <c r="C12" i="22"/>
  <c r="B13" i="22"/>
  <c r="J12" i="22"/>
  <c r="I13" i="22"/>
  <c r="E11" i="22"/>
  <c r="AG12" i="22"/>
  <c r="Q12" i="22"/>
  <c r="P13" i="22"/>
  <c r="AL11" i="22"/>
  <c r="AK12" i="22"/>
  <c r="BI14" i="22" l="1"/>
  <c r="BP21" i="22"/>
  <c r="BP7" i="22"/>
  <c r="BP6" i="22"/>
  <c r="AU8" i="22"/>
  <c r="BW6" i="22"/>
  <c r="BW8" i="22"/>
  <c r="BI9" i="22"/>
  <c r="BP23" i="22"/>
  <c r="BP24" i="22"/>
  <c r="AU7" i="22"/>
  <c r="CD5" i="22"/>
  <c r="CD10" i="22"/>
  <c r="BW11" i="22"/>
  <c r="BW16" i="22"/>
  <c r="BI15" i="22"/>
  <c r="BI12" i="22"/>
  <c r="BP14" i="22"/>
  <c r="BP25" i="22"/>
  <c r="CD7" i="22"/>
  <c r="BB9" i="22"/>
  <c r="BW5" i="22"/>
  <c r="BW18" i="22"/>
  <c r="BI6" i="22"/>
  <c r="BI11" i="22"/>
  <c r="BP12" i="22"/>
  <c r="BP15" i="22"/>
  <c r="AU11" i="22"/>
  <c r="BM27" i="22"/>
  <c r="CD6" i="22"/>
  <c r="BB5" i="22"/>
  <c r="BW9" i="22"/>
  <c r="BI10" i="22"/>
  <c r="BI8" i="22"/>
  <c r="BP13" i="22"/>
  <c r="BP22" i="22"/>
  <c r="BP17" i="22"/>
  <c r="AU6" i="22"/>
  <c r="BW10" i="22"/>
  <c r="CD11" i="22"/>
  <c r="CB17" i="22"/>
  <c r="CD17" i="22" s="1"/>
  <c r="BB6" i="22"/>
  <c r="BW7" i="22"/>
  <c r="BW17" i="22"/>
  <c r="BI13" i="22"/>
  <c r="BP5" i="22"/>
  <c r="BN26" i="22"/>
  <c r="BP11" i="22"/>
  <c r="BP18" i="22"/>
  <c r="AU10" i="22"/>
  <c r="BW15" i="22"/>
  <c r="CD8" i="22"/>
  <c r="CB18" i="22"/>
  <c r="CD18" i="22" s="1"/>
  <c r="BB7" i="22"/>
  <c r="BW12" i="22"/>
  <c r="BI5" i="22"/>
  <c r="BP9" i="22"/>
  <c r="BP20" i="22"/>
  <c r="BP10" i="22"/>
  <c r="BP19" i="22"/>
  <c r="AU9" i="22"/>
  <c r="CD9" i="22"/>
  <c r="CD12" i="22"/>
  <c r="CB16" i="22"/>
  <c r="CD16" i="22" s="1"/>
  <c r="BB8" i="22"/>
  <c r="BW13" i="22"/>
  <c r="BW14" i="22"/>
  <c r="BI7" i="22"/>
  <c r="BP8" i="22"/>
  <c r="BP16" i="22"/>
  <c r="AU5" i="22"/>
  <c r="CD14" i="22"/>
  <c r="CB15" i="22"/>
  <c r="Z12" i="22"/>
  <c r="W14" i="22"/>
  <c r="W15" i="22" s="1"/>
  <c r="W16" i="22" s="1"/>
  <c r="X13" i="22"/>
  <c r="BB11" i="22"/>
  <c r="AU13" i="22"/>
  <c r="BW20" i="22"/>
  <c r="AR15" i="22"/>
  <c r="AR16" i="22" s="1"/>
  <c r="AS14" i="22"/>
  <c r="BT22" i="22"/>
  <c r="BU21" i="22"/>
  <c r="AY13" i="22"/>
  <c r="AZ12" i="22"/>
  <c r="J13" i="22"/>
  <c r="I14" i="22"/>
  <c r="B14" i="22"/>
  <c r="C13" i="22"/>
  <c r="AG13" i="22"/>
  <c r="AL12" i="22"/>
  <c r="AK13" i="22"/>
  <c r="P14" i="22"/>
  <c r="Q13" i="22"/>
  <c r="L12" i="22"/>
  <c r="E12" i="22"/>
  <c r="AN11" i="22"/>
  <c r="S12" i="22"/>
  <c r="AE14" i="22"/>
  <c r="AD15" i="22"/>
  <c r="AD16" i="22" s="1"/>
  <c r="BP26" i="22" l="1"/>
  <c r="W17" i="22"/>
  <c r="X16" i="22"/>
  <c r="Z16" i="22" s="1"/>
  <c r="AR17" i="22"/>
  <c r="AS16" i="22"/>
  <c r="AU16" i="22" s="1"/>
  <c r="AD17" i="22"/>
  <c r="AE16" i="22"/>
  <c r="AG16" i="22" s="1"/>
  <c r="BM28" i="22"/>
  <c r="BN27" i="22"/>
  <c r="CD15" i="22"/>
  <c r="Z13" i="22"/>
  <c r="X14" i="22"/>
  <c r="AY14" i="22"/>
  <c r="AZ13" i="22"/>
  <c r="BW21" i="22"/>
  <c r="AU14" i="22"/>
  <c r="BF20" i="22"/>
  <c r="BT23" i="22"/>
  <c r="BU22" i="22"/>
  <c r="AS15" i="22"/>
  <c r="BB12" i="22"/>
  <c r="AG14" i="22"/>
  <c r="S13" i="22"/>
  <c r="Q14" i="22"/>
  <c r="P15" i="22"/>
  <c r="P16" i="22" s="1"/>
  <c r="C14" i="22"/>
  <c r="B15" i="22"/>
  <c r="L13" i="22"/>
  <c r="AL13" i="22"/>
  <c r="AK14" i="22"/>
  <c r="E13" i="22"/>
  <c r="AE15" i="22"/>
  <c r="AN12" i="22"/>
  <c r="J14" i="22"/>
  <c r="I15" i="22"/>
  <c r="I16" i="22" s="1"/>
  <c r="BM29" i="22" l="1"/>
  <c r="BN28" i="22"/>
  <c r="P17" i="22"/>
  <c r="Q16" i="22"/>
  <c r="S16" i="22" s="1"/>
  <c r="W18" i="22"/>
  <c r="X17" i="22"/>
  <c r="Z17" i="22" s="1"/>
  <c r="AR18" i="22"/>
  <c r="AS17" i="22"/>
  <c r="BP27" i="22"/>
  <c r="AD18" i="22"/>
  <c r="AE17" i="22"/>
  <c r="AG17" i="22" s="1"/>
  <c r="I17" i="22"/>
  <c r="J16" i="22"/>
  <c r="L16" i="22" s="1"/>
  <c r="X15" i="22"/>
  <c r="Z14" i="22"/>
  <c r="BT24" i="22"/>
  <c r="BU23" i="22"/>
  <c r="BF21" i="22"/>
  <c r="BG20" i="22"/>
  <c r="AU15" i="22"/>
  <c r="AY15" i="22"/>
  <c r="AY16" i="22" s="1"/>
  <c r="AZ14" i="22"/>
  <c r="BB13" i="22"/>
  <c r="BW22" i="22"/>
  <c r="AG15" i="22"/>
  <c r="AN13" i="22"/>
  <c r="S14" i="22"/>
  <c r="AL14" i="22"/>
  <c r="AK15" i="22"/>
  <c r="AK16" i="22" s="1"/>
  <c r="E14" i="22"/>
  <c r="Q15" i="22"/>
  <c r="J15" i="22"/>
  <c r="L14" i="22"/>
  <c r="B16" i="22"/>
  <c r="C15" i="22"/>
  <c r="AU17" i="22" l="1"/>
  <c r="W19" i="22"/>
  <c r="X19" i="22" s="1"/>
  <c r="Z19" i="22" s="1"/>
  <c r="X18" i="22"/>
  <c r="Z18" i="22" s="1"/>
  <c r="AK17" i="22"/>
  <c r="AL16" i="22"/>
  <c r="AN16" i="22" s="1"/>
  <c r="AY17" i="22"/>
  <c r="AZ16" i="22"/>
  <c r="BB16" i="22" s="1"/>
  <c r="I18" i="22"/>
  <c r="J17" i="22"/>
  <c r="L17" i="22" s="1"/>
  <c r="P18" i="22"/>
  <c r="Q17" i="22"/>
  <c r="S17" i="22" s="1"/>
  <c r="BP28" i="22"/>
  <c r="B17" i="22"/>
  <c r="C16" i="22"/>
  <c r="E16" i="22" s="1"/>
  <c r="AD19" i="22"/>
  <c r="AE19" i="22" s="1"/>
  <c r="AG19" i="22" s="1"/>
  <c r="AE18" i="22"/>
  <c r="AG18" i="22" s="1"/>
  <c r="AR19" i="22"/>
  <c r="AS19" i="22" s="1"/>
  <c r="AU19" i="22" s="1"/>
  <c r="AS18" i="22"/>
  <c r="BM30" i="22"/>
  <c r="BN29" i="22"/>
  <c r="Z15" i="22"/>
  <c r="AZ15" i="22"/>
  <c r="BB14" i="22"/>
  <c r="BF22" i="22"/>
  <c r="BG21" i="22"/>
  <c r="BT25" i="22"/>
  <c r="BU24" i="22"/>
  <c r="BI20" i="22"/>
  <c r="BW23" i="22"/>
  <c r="L15" i="22"/>
  <c r="AL15" i="22"/>
  <c r="E15" i="22"/>
  <c r="S15" i="22"/>
  <c r="AN14" i="22"/>
  <c r="AU18" i="22" l="1"/>
  <c r="BM31" i="22"/>
  <c r="BN30" i="22"/>
  <c r="B18" i="22"/>
  <c r="C17" i="22"/>
  <c r="E17" i="22" s="1"/>
  <c r="I19" i="22"/>
  <c r="J19" i="22" s="1"/>
  <c r="L19" i="22" s="1"/>
  <c r="J18" i="22"/>
  <c r="L18" i="22" s="1"/>
  <c r="AY18" i="22"/>
  <c r="AZ17" i="22"/>
  <c r="AK18" i="22"/>
  <c r="AL17" i="22"/>
  <c r="AN17" i="22" s="1"/>
  <c r="BP29" i="22"/>
  <c r="P19" i="22"/>
  <c r="Q19" i="22" s="1"/>
  <c r="S19" i="22" s="1"/>
  <c r="Q18" i="22"/>
  <c r="S18" i="22" s="1"/>
  <c r="CA20" i="22"/>
  <c r="BW24" i="22"/>
  <c r="BI21" i="22"/>
  <c r="BB15" i="22"/>
  <c r="BT26" i="22"/>
  <c r="BU25" i="22"/>
  <c r="BF23" i="22"/>
  <c r="BG22" i="22"/>
  <c r="AN15" i="22"/>
  <c r="BB17" i="22" l="1"/>
  <c r="AK19" i="22"/>
  <c r="AL19" i="22" s="1"/>
  <c r="AN19" i="22" s="1"/>
  <c r="AL18" i="22"/>
  <c r="AN18" i="22" s="1"/>
  <c r="B19" i="22"/>
  <c r="C19" i="22" s="1"/>
  <c r="E19" i="22" s="1"/>
  <c r="C18" i="22"/>
  <c r="E18" i="22" s="1"/>
  <c r="BP30" i="22"/>
  <c r="AY19" i="22"/>
  <c r="AZ19" i="22" s="1"/>
  <c r="BB19" i="22" s="1"/>
  <c r="AZ18" i="22"/>
  <c r="BB18" i="22" s="1"/>
  <c r="BM32" i="22"/>
  <c r="BN31" i="22"/>
  <c r="CA21" i="22"/>
  <c r="CB20" i="22"/>
  <c r="BF24" i="22"/>
  <c r="BG23" i="22"/>
  <c r="BT27" i="22"/>
  <c r="BU26" i="22"/>
  <c r="AR20" i="22"/>
  <c r="BI22" i="22"/>
  <c r="BW25" i="22"/>
  <c r="AD20" i="22"/>
  <c r="BP31" i="22" l="1"/>
  <c r="BM33" i="22"/>
  <c r="BN32" i="22"/>
  <c r="CD20" i="22"/>
  <c r="W20" i="22"/>
  <c r="CA22" i="22"/>
  <c r="CB21" i="22"/>
  <c r="BI23" i="22"/>
  <c r="BF25" i="22"/>
  <c r="BG24" i="22"/>
  <c r="BW26" i="22"/>
  <c r="AR21" i="22"/>
  <c r="AS20" i="22"/>
  <c r="BT28" i="22"/>
  <c r="BU27" i="22"/>
  <c r="I20" i="22"/>
  <c r="AD21" i="22"/>
  <c r="AE20" i="22"/>
  <c r="B20" i="22"/>
  <c r="P20" i="22"/>
  <c r="BP32" i="22" l="1"/>
  <c r="BM34" i="22"/>
  <c r="BN33" i="22"/>
  <c r="CD21" i="22"/>
  <c r="X20" i="22"/>
  <c r="W21" i="22"/>
  <c r="CA23" i="22"/>
  <c r="CB22" i="22"/>
  <c r="BW27" i="22"/>
  <c r="AU20" i="22"/>
  <c r="BI24" i="22"/>
  <c r="AR22" i="22"/>
  <c r="AS21" i="22"/>
  <c r="BT29" i="22"/>
  <c r="BU28" i="22"/>
  <c r="BF26" i="22"/>
  <c r="BG25" i="22"/>
  <c r="AY20" i="22"/>
  <c r="AD22" i="22"/>
  <c r="AE21" i="22"/>
  <c r="C20" i="22"/>
  <c r="B21" i="22"/>
  <c r="AG20" i="22"/>
  <c r="J20" i="22"/>
  <c r="I21" i="22"/>
  <c r="Q20" i="22"/>
  <c r="P21" i="22"/>
  <c r="AK20" i="22"/>
  <c r="BM35" i="22" l="1"/>
  <c r="BN34" i="22"/>
  <c r="BP33" i="22"/>
  <c r="CD22" i="22"/>
  <c r="CA24" i="22"/>
  <c r="CB23" i="22"/>
  <c r="X21" i="22"/>
  <c r="W22" i="22"/>
  <c r="Z20" i="22"/>
  <c r="AY21" i="22"/>
  <c r="AZ20" i="22"/>
  <c r="BT30" i="22"/>
  <c r="BU29" i="22"/>
  <c r="BF27" i="22"/>
  <c r="BG26" i="22"/>
  <c r="BI25" i="22"/>
  <c r="AR23" i="22"/>
  <c r="AS22" i="22"/>
  <c r="BW28" i="22"/>
  <c r="AU21" i="22"/>
  <c r="AL20" i="22"/>
  <c r="AK21" i="22"/>
  <c r="P22" i="22"/>
  <c r="Q21" i="22"/>
  <c r="L20" i="22"/>
  <c r="S20" i="22"/>
  <c r="B22" i="22"/>
  <c r="C21" i="22"/>
  <c r="AG21" i="22"/>
  <c r="J21" i="22"/>
  <c r="I22" i="22"/>
  <c r="E20" i="22"/>
  <c r="AE22" i="22"/>
  <c r="AD23" i="22"/>
  <c r="BP34" i="22" l="1"/>
  <c r="BN35" i="22"/>
  <c r="W23" i="22"/>
  <c r="X22" i="22"/>
  <c r="Z21" i="22"/>
  <c r="CA25" i="22"/>
  <c r="CB24" i="22"/>
  <c r="CD23" i="22"/>
  <c r="BF28" i="22"/>
  <c r="BG27" i="22"/>
  <c r="BB20" i="22"/>
  <c r="AU22" i="22"/>
  <c r="BW29" i="22"/>
  <c r="AR24" i="22"/>
  <c r="AS23" i="22"/>
  <c r="BI26" i="22"/>
  <c r="BT31" i="22"/>
  <c r="BU30" i="22"/>
  <c r="AY22" i="22"/>
  <c r="AZ21" i="22"/>
  <c r="AD24" i="22"/>
  <c r="AE23" i="22"/>
  <c r="E21" i="22"/>
  <c r="AL21" i="22"/>
  <c r="AK22" i="22"/>
  <c r="AN20" i="22"/>
  <c r="AG22" i="22"/>
  <c r="J22" i="22"/>
  <c r="I23" i="22"/>
  <c r="S21" i="22"/>
  <c r="L21" i="22"/>
  <c r="C22" i="22"/>
  <c r="B23" i="22"/>
  <c r="Q22" i="22"/>
  <c r="P23" i="22"/>
  <c r="BS38" i="22" l="1"/>
  <c r="BS45" i="22"/>
  <c r="BS47" i="22"/>
  <c r="BS58" i="22"/>
  <c r="BS43" i="22"/>
  <c r="BS44" i="22"/>
  <c r="BS59" i="22"/>
  <c r="BS51" i="22"/>
  <c r="BS49" i="22"/>
  <c r="BS52" i="22"/>
  <c r="BS46" i="22"/>
  <c r="BS57" i="22"/>
  <c r="BS55" i="22"/>
  <c r="BS56" i="22"/>
  <c r="BS40" i="22"/>
  <c r="BS41" i="22"/>
  <c r="BS53" i="22"/>
  <c r="BS37" i="22"/>
  <c r="BS50" i="22"/>
  <c r="BS39" i="22"/>
  <c r="BP35" i="22"/>
  <c r="Z22" i="22"/>
  <c r="CA26" i="22"/>
  <c r="CB25" i="22"/>
  <c r="CD24" i="22"/>
  <c r="W24" i="22"/>
  <c r="X23" i="22"/>
  <c r="BI27" i="22"/>
  <c r="AS24" i="22"/>
  <c r="AR25" i="22"/>
  <c r="BF29" i="22"/>
  <c r="BG28" i="22"/>
  <c r="BB21" i="22"/>
  <c r="BW30" i="22"/>
  <c r="AY23" i="22"/>
  <c r="AZ22" i="22"/>
  <c r="BT32" i="22"/>
  <c r="BU31" i="22"/>
  <c r="AU23" i="22"/>
  <c r="P24" i="22"/>
  <c r="Q23" i="22"/>
  <c r="J23" i="22"/>
  <c r="I24" i="22"/>
  <c r="B24" i="22"/>
  <c r="C23" i="22"/>
  <c r="AL22" i="22"/>
  <c r="AK23" i="22"/>
  <c r="AD25" i="22"/>
  <c r="AE24" i="22"/>
  <c r="S22" i="22"/>
  <c r="L22" i="22"/>
  <c r="E22" i="22"/>
  <c r="AN21" i="22"/>
  <c r="AG23" i="22"/>
  <c r="Z23" i="22" l="1"/>
  <c r="CA27" i="22"/>
  <c r="CB26" i="22"/>
  <c r="W25" i="22"/>
  <c r="X24" i="22"/>
  <c r="CD25" i="22"/>
  <c r="BB22" i="22"/>
  <c r="AR26" i="22"/>
  <c r="AS25" i="22"/>
  <c r="BT33" i="22"/>
  <c r="BU32" i="22"/>
  <c r="AY24" i="22"/>
  <c r="AZ23" i="22"/>
  <c r="AU24" i="22"/>
  <c r="BW31" i="22"/>
  <c r="BI28" i="22"/>
  <c r="BF30" i="22"/>
  <c r="BG29" i="22"/>
  <c r="AN22" i="22"/>
  <c r="AD26" i="22"/>
  <c r="AE25" i="22"/>
  <c r="E23" i="22"/>
  <c r="J24" i="22"/>
  <c r="I25" i="22"/>
  <c r="S23" i="22"/>
  <c r="AG24" i="22"/>
  <c r="C24" i="22"/>
  <c r="B25" i="22"/>
  <c r="AL23" i="22"/>
  <c r="AK24" i="22"/>
  <c r="L23" i="22"/>
  <c r="Q24" i="22"/>
  <c r="P25" i="22"/>
  <c r="Z24" i="22" l="1"/>
  <c r="CD26" i="22"/>
  <c r="CA28" i="22"/>
  <c r="CB27" i="22"/>
  <c r="X25" i="22"/>
  <c r="W26" i="22"/>
  <c r="BB23" i="22"/>
  <c r="AU25" i="22"/>
  <c r="BG30" i="22"/>
  <c r="BF31" i="22"/>
  <c r="AR27" i="22"/>
  <c r="AS26" i="22"/>
  <c r="BW32" i="22"/>
  <c r="BI29" i="22"/>
  <c r="AY25" i="22"/>
  <c r="AZ24" i="22"/>
  <c r="BT34" i="22"/>
  <c r="BU33" i="22"/>
  <c r="AN23" i="22"/>
  <c r="J25" i="22"/>
  <c r="I26" i="22"/>
  <c r="L24" i="22"/>
  <c r="P26" i="22"/>
  <c r="Q25" i="22"/>
  <c r="E24" i="22"/>
  <c r="AD27" i="22"/>
  <c r="AE26" i="22"/>
  <c r="S24" i="22"/>
  <c r="AL24" i="22"/>
  <c r="AK25" i="22"/>
  <c r="B26" i="22"/>
  <c r="C25" i="22"/>
  <c r="AG25" i="22"/>
  <c r="X26" i="22" l="1"/>
  <c r="W27" i="22"/>
  <c r="Z25" i="22"/>
  <c r="CD27" i="22"/>
  <c r="CA29" i="22"/>
  <c r="CB28" i="22"/>
  <c r="AU26" i="22"/>
  <c r="BI30" i="22"/>
  <c r="BU34" i="22"/>
  <c r="AY26" i="22"/>
  <c r="AZ25" i="22"/>
  <c r="BW33" i="22"/>
  <c r="BB24" i="22"/>
  <c r="AS27" i="22"/>
  <c r="AR28" i="22"/>
  <c r="BG31" i="22"/>
  <c r="BF32" i="22"/>
  <c r="L25" i="22"/>
  <c r="AL25" i="22"/>
  <c r="AK26" i="22"/>
  <c r="S25" i="22"/>
  <c r="C26" i="22"/>
  <c r="B27" i="22"/>
  <c r="AN24" i="22"/>
  <c r="AG26" i="22"/>
  <c r="Q26" i="22"/>
  <c r="P27" i="22"/>
  <c r="E25" i="22"/>
  <c r="AD28" i="22"/>
  <c r="AE27" i="22"/>
  <c r="J26" i="22"/>
  <c r="I27" i="22"/>
  <c r="BZ46" i="22" l="1"/>
  <c r="BZ50" i="22"/>
  <c r="BZ41" i="22"/>
  <c r="BZ43" i="22"/>
  <c r="BZ59" i="22"/>
  <c r="BZ51" i="22"/>
  <c r="BZ52" i="22"/>
  <c r="BZ39" i="22"/>
  <c r="BZ40" i="22"/>
  <c r="BZ44" i="22"/>
  <c r="BZ47" i="22"/>
  <c r="BZ56" i="22"/>
  <c r="BZ58" i="22"/>
  <c r="BZ57" i="22"/>
  <c r="BZ53" i="22"/>
  <c r="BZ49" i="22"/>
  <c r="BZ55" i="22"/>
  <c r="BZ37" i="22"/>
  <c r="BZ38" i="22"/>
  <c r="BZ45" i="22"/>
  <c r="CA30" i="22"/>
  <c r="CB29" i="22"/>
  <c r="W28" i="22"/>
  <c r="X27" i="22"/>
  <c r="CD28" i="22"/>
  <c r="Z26" i="22"/>
  <c r="AR29" i="22"/>
  <c r="AS28" i="22"/>
  <c r="BI31" i="22"/>
  <c r="AY27" i="22"/>
  <c r="AZ26" i="22"/>
  <c r="BG32" i="22"/>
  <c r="BF33" i="22"/>
  <c r="AU27" i="22"/>
  <c r="BB25" i="22"/>
  <c r="BW34" i="22"/>
  <c r="E26" i="22"/>
  <c r="J27" i="22"/>
  <c r="I28" i="22"/>
  <c r="AG27" i="22"/>
  <c r="S26" i="22"/>
  <c r="AL26" i="22"/>
  <c r="AK27" i="22"/>
  <c r="P28" i="22"/>
  <c r="Q27" i="22"/>
  <c r="L26" i="22"/>
  <c r="AD29" i="22"/>
  <c r="AE28" i="22"/>
  <c r="B28" i="22"/>
  <c r="C27" i="22"/>
  <c r="AN25" i="22"/>
  <c r="CD29" i="22" l="1"/>
  <c r="Z27" i="22"/>
  <c r="X28" i="22"/>
  <c r="W29" i="22"/>
  <c r="CA31" i="22"/>
  <c r="CB30" i="22"/>
  <c r="BI32" i="22"/>
  <c r="BB26" i="22"/>
  <c r="AU28" i="22"/>
  <c r="AS29" i="22"/>
  <c r="AR30" i="22"/>
  <c r="BG33" i="22"/>
  <c r="BF34" i="22"/>
  <c r="AY28" i="22"/>
  <c r="AZ27" i="22"/>
  <c r="Q28" i="22"/>
  <c r="P29" i="22"/>
  <c r="AL27" i="22"/>
  <c r="AK28" i="22"/>
  <c r="AD30" i="22"/>
  <c r="AE29" i="22"/>
  <c r="J28" i="22"/>
  <c r="I29" i="22"/>
  <c r="C28" i="22"/>
  <c r="B29" i="22"/>
  <c r="AG28" i="22"/>
  <c r="E27" i="22"/>
  <c r="S27" i="22"/>
  <c r="AN26" i="22"/>
  <c r="L27" i="22"/>
  <c r="CA32" i="22" l="1"/>
  <c r="CB31" i="22"/>
  <c r="Z28" i="22"/>
  <c r="CD30" i="22"/>
  <c r="W30" i="22"/>
  <c r="X29" i="22"/>
  <c r="AU29" i="22"/>
  <c r="AY29" i="22"/>
  <c r="AZ28" i="22"/>
  <c r="BI33" i="22"/>
  <c r="BB27" i="22"/>
  <c r="BG34" i="22"/>
  <c r="AS30" i="22"/>
  <c r="AR31" i="22"/>
  <c r="AG29" i="22"/>
  <c r="AD31" i="22"/>
  <c r="AE30" i="22"/>
  <c r="J29" i="22"/>
  <c r="I30" i="22"/>
  <c r="AL28" i="22"/>
  <c r="AK29" i="22"/>
  <c r="P30" i="22"/>
  <c r="Q29" i="22"/>
  <c r="E28" i="22"/>
  <c r="B30" i="22"/>
  <c r="C29" i="22"/>
  <c r="L28" i="22"/>
  <c r="AN27" i="22"/>
  <c r="S28" i="22"/>
  <c r="BL37" i="22" l="1"/>
  <c r="BL51" i="22"/>
  <c r="BL47" i="22"/>
  <c r="BL56" i="22"/>
  <c r="BL38" i="22"/>
  <c r="BL53" i="22"/>
  <c r="BL50" i="22"/>
  <c r="BL59" i="22"/>
  <c r="BL49" i="22"/>
  <c r="BL40" i="22"/>
  <c r="BL41" i="22"/>
  <c r="BL44" i="22"/>
  <c r="BL46" i="22"/>
  <c r="BL45" i="22"/>
  <c r="BL43" i="22"/>
  <c r="BL39" i="22"/>
  <c r="BL57" i="22"/>
  <c r="BL52" i="22"/>
  <c r="BL58" i="22"/>
  <c r="BL55" i="22"/>
  <c r="CA33" i="22"/>
  <c r="CB32" i="22"/>
  <c r="X30" i="22"/>
  <c r="W31" i="22"/>
  <c r="Z29" i="22"/>
  <c r="CD31" i="22"/>
  <c r="BB28" i="22"/>
  <c r="AR32" i="22"/>
  <c r="AS31" i="22"/>
  <c r="BI34" i="22"/>
  <c r="AU30" i="22"/>
  <c r="AY30" i="22"/>
  <c r="AZ29" i="22"/>
  <c r="E29" i="22"/>
  <c r="Q30" i="22"/>
  <c r="P31" i="22"/>
  <c r="AN28" i="22"/>
  <c r="L29" i="22"/>
  <c r="AD32" i="22"/>
  <c r="AE31" i="22"/>
  <c r="C30" i="22"/>
  <c r="B31" i="22"/>
  <c r="S29" i="22"/>
  <c r="AL29" i="22"/>
  <c r="AK30" i="22"/>
  <c r="J30" i="22"/>
  <c r="I31" i="22"/>
  <c r="AG30" i="22"/>
  <c r="CD32" i="22" l="1"/>
  <c r="X31" i="22"/>
  <c r="W32" i="22"/>
  <c r="Z30" i="22"/>
  <c r="CA34" i="22"/>
  <c r="CB33" i="22"/>
  <c r="BB29" i="22"/>
  <c r="AU31" i="22"/>
  <c r="AY31" i="22"/>
  <c r="AZ30" i="22"/>
  <c r="AS32" i="22"/>
  <c r="S30" i="22"/>
  <c r="AG31" i="22"/>
  <c r="J31" i="22"/>
  <c r="I32" i="22"/>
  <c r="AL30" i="22"/>
  <c r="AK31" i="22"/>
  <c r="AD33" i="22"/>
  <c r="AE32" i="22"/>
  <c r="E30" i="22"/>
  <c r="L30" i="22"/>
  <c r="AN29" i="22"/>
  <c r="B32" i="22"/>
  <c r="C31" i="22"/>
  <c r="P32" i="22"/>
  <c r="Q31" i="22"/>
  <c r="AX38" i="22" l="1"/>
  <c r="AX40" i="22"/>
  <c r="AX41" i="22"/>
  <c r="AX37" i="22"/>
  <c r="AX39" i="22"/>
  <c r="AX43" i="22"/>
  <c r="AX55" i="22"/>
  <c r="AX57" i="22"/>
  <c r="AX47" i="22"/>
  <c r="AX58" i="22"/>
  <c r="AX44" i="22"/>
  <c r="AX56" i="22"/>
  <c r="AX49" i="22"/>
  <c r="AX50" i="22"/>
  <c r="AX51" i="22"/>
  <c r="AX45" i="22"/>
  <c r="AX52" i="22"/>
  <c r="AX59" i="22"/>
  <c r="AX46" i="22"/>
  <c r="AX53" i="22"/>
  <c r="W33" i="22"/>
  <c r="X32" i="22"/>
  <c r="CA35" i="22"/>
  <c r="CB34" i="22"/>
  <c r="CD33" i="22"/>
  <c r="Z31" i="22"/>
  <c r="BB30" i="22"/>
  <c r="AU32" i="22"/>
  <c r="AY32" i="22"/>
  <c r="AZ31" i="22"/>
  <c r="Q32" i="22"/>
  <c r="P33" i="22"/>
  <c r="C32" i="22"/>
  <c r="B33" i="22"/>
  <c r="AG32" i="22"/>
  <c r="AL31" i="22"/>
  <c r="AK32" i="22"/>
  <c r="J32" i="22"/>
  <c r="I33" i="22"/>
  <c r="E31" i="22"/>
  <c r="S31" i="22"/>
  <c r="AD34" i="22"/>
  <c r="AE33" i="22"/>
  <c r="AN30" i="22"/>
  <c r="L31" i="22"/>
  <c r="CB35" i="22" l="1"/>
  <c r="CG43" i="22" s="1"/>
  <c r="CD34" i="22"/>
  <c r="Z32" i="22"/>
  <c r="X33" i="22"/>
  <c r="W34" i="22"/>
  <c r="AY33" i="22"/>
  <c r="AZ32" i="22"/>
  <c r="BB31" i="22"/>
  <c r="AG33" i="22"/>
  <c r="AD35" i="22"/>
  <c r="AE34" i="22"/>
  <c r="J33" i="22"/>
  <c r="I34" i="22"/>
  <c r="AL32" i="22"/>
  <c r="AK33" i="22"/>
  <c r="L32" i="22"/>
  <c r="AN31" i="22"/>
  <c r="B34" i="22"/>
  <c r="C33" i="22"/>
  <c r="P34" i="22"/>
  <c r="Q33" i="22"/>
  <c r="E32" i="22"/>
  <c r="S32" i="22"/>
  <c r="CG40" i="22" l="1"/>
  <c r="CG59" i="22"/>
  <c r="CG44" i="22"/>
  <c r="CG46" i="22"/>
  <c r="CG50" i="22"/>
  <c r="CG52" i="22"/>
  <c r="CG51" i="22"/>
  <c r="CG45" i="22"/>
  <c r="CG49" i="22"/>
  <c r="CG56" i="22"/>
  <c r="CG38" i="22"/>
  <c r="CG57" i="22"/>
  <c r="CG41" i="22"/>
  <c r="CG53" i="22"/>
  <c r="CG55" i="22"/>
  <c r="CG47" i="22"/>
  <c r="CG37" i="22"/>
  <c r="CG58" i="22"/>
  <c r="CG39" i="22"/>
  <c r="Z33" i="22"/>
  <c r="CD35" i="22"/>
  <c r="X34" i="22"/>
  <c r="AY34" i="22"/>
  <c r="AZ33" i="22"/>
  <c r="BB32" i="22"/>
  <c r="Q34" i="22"/>
  <c r="P35" i="22"/>
  <c r="C34" i="22"/>
  <c r="B35" i="22"/>
  <c r="AN32" i="22"/>
  <c r="L33" i="22"/>
  <c r="J34" i="22"/>
  <c r="AE35" i="22"/>
  <c r="S33" i="22"/>
  <c r="E33" i="22"/>
  <c r="AL33" i="22"/>
  <c r="AK34" i="22"/>
  <c r="AJ50" i="22" l="1"/>
  <c r="AJ59" i="22"/>
  <c r="AJ57" i="22"/>
  <c r="AJ55" i="22"/>
  <c r="AJ58" i="22"/>
  <c r="AJ37" i="22"/>
  <c r="AJ56" i="22"/>
  <c r="AJ44" i="22"/>
  <c r="AJ43" i="22"/>
  <c r="AJ49" i="22"/>
  <c r="AJ45" i="22"/>
  <c r="AJ38" i="22"/>
  <c r="AJ41" i="22"/>
  <c r="AJ40" i="22"/>
  <c r="AJ51" i="22"/>
  <c r="AJ47" i="22"/>
  <c r="AJ46" i="22"/>
  <c r="AJ52" i="22"/>
  <c r="AJ39" i="22"/>
  <c r="AJ53" i="22"/>
  <c r="O43" i="22"/>
  <c r="O50" i="22"/>
  <c r="O44" i="22"/>
  <c r="O59" i="22"/>
  <c r="O52" i="22"/>
  <c r="O51" i="22"/>
  <c r="O46" i="22"/>
  <c r="O39" i="22"/>
  <c r="O41" i="22"/>
  <c r="O55" i="22"/>
  <c r="O49" i="22"/>
  <c r="O53" i="22"/>
  <c r="O58" i="22"/>
  <c r="O37" i="22"/>
  <c r="O57" i="22"/>
  <c r="O45" i="22"/>
  <c r="O38" i="22"/>
  <c r="O56" i="22"/>
  <c r="O47" i="22"/>
  <c r="O40" i="22"/>
  <c r="AC39" i="22"/>
  <c r="AC37" i="22"/>
  <c r="AC51" i="22"/>
  <c r="AC59" i="22"/>
  <c r="AC56" i="22"/>
  <c r="AC41" i="22"/>
  <c r="AC58" i="22"/>
  <c r="AC52" i="22"/>
  <c r="AC47" i="22"/>
  <c r="AC53" i="22"/>
  <c r="AC38" i="22"/>
  <c r="AC57" i="22"/>
  <c r="AC49" i="22"/>
  <c r="AC45" i="22"/>
  <c r="AC43" i="22"/>
  <c r="AC55" i="22"/>
  <c r="AC44" i="22"/>
  <c r="AC40" i="22"/>
  <c r="AC46" i="22"/>
  <c r="AC50" i="22"/>
  <c r="Z34" i="22"/>
  <c r="AY35" i="22"/>
  <c r="AZ34" i="22"/>
  <c r="BB33" i="22"/>
  <c r="C35" i="22"/>
  <c r="H37" i="22" s="1"/>
  <c r="Q35" i="22"/>
  <c r="AN33" i="22"/>
  <c r="L34" i="22"/>
  <c r="E34" i="22"/>
  <c r="S34" i="22"/>
  <c r="AL34" i="22"/>
  <c r="AK35" i="22"/>
  <c r="AG35" i="22"/>
  <c r="V50" i="22" l="1"/>
  <c r="V37" i="22"/>
  <c r="V52" i="22"/>
  <c r="V59" i="22"/>
  <c r="V53" i="22"/>
  <c r="V45" i="22"/>
  <c r="V43" i="22"/>
  <c r="V40" i="22"/>
  <c r="V49" i="22"/>
  <c r="V58" i="22"/>
  <c r="V38" i="22"/>
  <c r="V44" i="22"/>
  <c r="V41" i="22"/>
  <c r="V56" i="22"/>
  <c r="V55" i="22"/>
  <c r="V46" i="22"/>
  <c r="V47" i="22"/>
  <c r="V57" i="22"/>
  <c r="V51" i="22"/>
  <c r="V39" i="22"/>
  <c r="H56" i="22"/>
  <c r="H39" i="22"/>
  <c r="H43" i="22"/>
  <c r="H38" i="22"/>
  <c r="H57" i="22"/>
  <c r="H58" i="22"/>
  <c r="H49" i="22"/>
  <c r="H45" i="22"/>
  <c r="H46" i="22"/>
  <c r="H52" i="22"/>
  <c r="H55" i="22"/>
  <c r="H51" i="22"/>
  <c r="H50" i="22"/>
  <c r="H44" i="22"/>
  <c r="H40" i="22"/>
  <c r="H41" i="22"/>
  <c r="H53" i="22"/>
  <c r="H59" i="22"/>
  <c r="H47" i="22"/>
  <c r="BB34" i="22"/>
  <c r="AZ35" i="22"/>
  <c r="AL35" i="22"/>
  <c r="AN34" i="22"/>
  <c r="S35" i="22"/>
  <c r="E35" i="22"/>
  <c r="AQ50" i="22" l="1"/>
  <c r="AQ56" i="22"/>
  <c r="AQ37" i="22"/>
  <c r="AQ52" i="22"/>
  <c r="AQ57" i="22"/>
  <c r="AQ44" i="22"/>
  <c r="AQ41" i="22"/>
  <c r="AQ46" i="22"/>
  <c r="AQ49" i="22"/>
  <c r="AQ53" i="22"/>
  <c r="AQ55" i="22"/>
  <c r="AQ59" i="22"/>
  <c r="AQ51" i="22"/>
  <c r="AQ58" i="22"/>
  <c r="AQ38" i="22"/>
  <c r="AQ39" i="22"/>
  <c r="AQ47" i="22"/>
  <c r="AQ45" i="22"/>
  <c r="AQ40" i="22"/>
  <c r="AQ43" i="22"/>
  <c r="BE51" i="22"/>
  <c r="BE38" i="22"/>
  <c r="BE41" i="22"/>
  <c r="BE58" i="22"/>
  <c r="BE56" i="22"/>
  <c r="BE57" i="22"/>
  <c r="BE39" i="22"/>
  <c r="BE53" i="22"/>
  <c r="BE50" i="22"/>
  <c r="BE44" i="22"/>
  <c r="BE52" i="22"/>
  <c r="BE47" i="22"/>
  <c r="BE43" i="22"/>
  <c r="BE46" i="22"/>
  <c r="BE55" i="22"/>
  <c r="BE40" i="22"/>
  <c r="BE49" i="22"/>
  <c r="BE45" i="22"/>
  <c r="BE37" i="22"/>
  <c r="BE59" i="22"/>
  <c r="BB35" i="22"/>
  <c r="AN35" i="22"/>
  <c r="CK56" i="22" l="1"/>
  <c r="CK57" i="22"/>
  <c r="CK44" i="22"/>
  <c r="CK37" i="22"/>
  <c r="CK41" i="22"/>
  <c r="CK38" i="22"/>
  <c r="CK51" i="22"/>
  <c r="CK50" i="22"/>
  <c r="CK53" i="22"/>
  <c r="CK55" i="22"/>
  <c r="CK49" i="22"/>
  <c r="CK59" i="22"/>
  <c r="CK52" i="22"/>
  <c r="CK40" i="22"/>
  <c r="CK58" i="22"/>
  <c r="CK39" i="22"/>
  <c r="CK46" i="22"/>
  <c r="CK43" i="22"/>
  <c r="CK47" i="22"/>
  <c r="CK45" i="22"/>
  <c r="CK60" i="22" l="1"/>
  <c r="CJ25" i="22" s="1"/>
</calcChain>
</file>

<file path=xl/sharedStrings.xml><?xml version="1.0" encoding="utf-8"?>
<sst xmlns="http://schemas.openxmlformats.org/spreadsheetml/2006/main" count="4134" uniqueCount="299">
  <si>
    <t>Opgaveoversigt</t>
  </si>
  <si>
    <t>Skolens navn</t>
  </si>
  <si>
    <t>lærerens navn</t>
  </si>
  <si>
    <t>vedr. skoleåret</t>
  </si>
  <si>
    <t>Dansk</t>
  </si>
  <si>
    <t>Matematik</t>
  </si>
  <si>
    <t>Musik</t>
  </si>
  <si>
    <t>Engelsk</t>
  </si>
  <si>
    <t>Antal dage</t>
  </si>
  <si>
    <t>Ekskursioner</t>
  </si>
  <si>
    <t>Bornholm - 110 timer i alt</t>
  </si>
  <si>
    <t>Uv. Timer pr. dag</t>
  </si>
  <si>
    <t>Uv. I alt</t>
  </si>
  <si>
    <t>Andre opgaver</t>
  </si>
  <si>
    <t>Tilsyn - ovf. Fra lejreskole, ekskursioner</t>
  </si>
  <si>
    <t>El-museet</t>
  </si>
  <si>
    <t>Klasselærer</t>
  </si>
  <si>
    <t>Årgang/hold</t>
  </si>
  <si>
    <t>Undervisningstimer i alt</t>
  </si>
  <si>
    <t>Ansvar for natur/teknik lokalet</t>
  </si>
  <si>
    <t>Danfoss Univerce</t>
  </si>
  <si>
    <t>Dette skema er tænkt som en summarisk opgaveoversigt, herudover bør suppleres med arbejdsbeskrivelser af de enkelte opgaver - ligesom i de »gamle« lokalaftaler.</t>
  </si>
  <si>
    <t>Lektioner</t>
  </si>
  <si>
    <t>Lektionernes varrighed</t>
  </si>
  <si>
    <t>Mandag</t>
  </si>
  <si>
    <t>Tirsdag</t>
  </si>
  <si>
    <t>Onsdag</t>
  </si>
  <si>
    <t>Torsdag</t>
  </si>
  <si>
    <t>Fredag</t>
  </si>
  <si>
    <t>Kunst/design</t>
  </si>
  <si>
    <t>Sløjd</t>
  </si>
  <si>
    <t>Tysk</t>
  </si>
  <si>
    <t>Fysik</t>
  </si>
  <si>
    <t>Morgensang</t>
  </si>
  <si>
    <t>Idræt</t>
  </si>
  <si>
    <t>Nyheder</t>
  </si>
  <si>
    <t>Antal "normale undervisningstimer</t>
  </si>
  <si>
    <t>Undervisningstimer i hele normperioden</t>
  </si>
  <si>
    <t>Skoleskema</t>
  </si>
  <si>
    <t xml:space="preserve">Undervisningstimer på lejrskoler </t>
  </si>
  <si>
    <t xml:space="preserve">Undervisningstimer på ekskurtioner </t>
  </si>
  <si>
    <t xml:space="preserve">Undervisningstimer på emnedage og fagdage </t>
  </si>
  <si>
    <t xml:space="preserve">Optælling af skoledagene i række 21, er en optælling af helt almindelige skoledage, hvor der læses dette skoleskema. </t>
  </si>
  <si>
    <t>Hele klokketimer - teksten kan ændres - flere linier imellem linie 24-26 kan indsættes</t>
  </si>
  <si>
    <t>Antal ugedage i perioden, hvor der læses normalt skoleskema</t>
  </si>
  <si>
    <t>Antal klokketimer pr. dag pr. år</t>
  </si>
  <si>
    <t>AUGUST</t>
  </si>
  <si>
    <t>SEPTEMBER</t>
  </si>
  <si>
    <t>OKTOBER</t>
  </si>
  <si>
    <t>NOVEMBER</t>
  </si>
  <si>
    <t>DECEMBER</t>
  </si>
  <si>
    <t>JANUAR</t>
  </si>
  <si>
    <t>2. juledag</t>
  </si>
  <si>
    <t>Hele skoleåret</t>
  </si>
  <si>
    <t>FEBRUAR</t>
  </si>
  <si>
    <t>MARTS</t>
  </si>
  <si>
    <t>APRIL</t>
  </si>
  <si>
    <t>MAJ</t>
  </si>
  <si>
    <t>JUNI</t>
  </si>
  <si>
    <t>JULI</t>
  </si>
  <si>
    <t>Skærtorsdag</t>
  </si>
  <si>
    <t>I alt</t>
  </si>
  <si>
    <t>feriedage</t>
  </si>
  <si>
    <t>Pæd.dage</t>
  </si>
  <si>
    <t>Lejrskoledg./ekskursion</t>
  </si>
  <si>
    <t>fag/emnedage</t>
  </si>
  <si>
    <t>feriedag</t>
  </si>
  <si>
    <t>Skoledage</t>
  </si>
  <si>
    <t>pæd.dag</t>
  </si>
  <si>
    <t>Sommerferie</t>
  </si>
  <si>
    <t>ekskursion</t>
  </si>
  <si>
    <t>lejrskole</t>
  </si>
  <si>
    <t>2. Påskedag</t>
  </si>
  <si>
    <t>Påskedag</t>
  </si>
  <si>
    <t>Aktiviteter</t>
  </si>
  <si>
    <t>weekend</t>
  </si>
  <si>
    <t>SH-dag</t>
  </si>
  <si>
    <t>Weekend</t>
  </si>
  <si>
    <t>Min egen skole</t>
  </si>
  <si>
    <t>Søgne/helligdag</t>
  </si>
  <si>
    <t>Nul-dag</t>
  </si>
  <si>
    <t>Juleaftensdag</t>
  </si>
  <si>
    <t>Elevernes vinterferie</t>
  </si>
  <si>
    <t>Fagdag</t>
  </si>
  <si>
    <t>Ekskursion</t>
  </si>
  <si>
    <t>Efterårsferie</t>
  </si>
  <si>
    <t>1. juledag</t>
  </si>
  <si>
    <t>Nytårsdag</t>
  </si>
  <si>
    <t/>
  </si>
  <si>
    <t>Kalenderne er tiltænkt til forældre, fødselsdagskalendere eller til andet brug. DOG IKKE TIL LÆRERNE!</t>
  </si>
  <si>
    <t>De sidste 3 faner er tomme kalendere. TOMT - ÅR, TOMT 1. halvår, TOMT 2. halvår</t>
  </si>
  <si>
    <t>on</t>
  </si>
  <si>
    <t>lø</t>
  </si>
  <si>
    <t>ma</t>
  </si>
  <si>
    <t>to</t>
  </si>
  <si>
    <t>ti</t>
  </si>
  <si>
    <t>fr</t>
  </si>
  <si>
    <t>sø</t>
  </si>
  <si>
    <t>Ikke relevant</t>
  </si>
  <si>
    <t>I alt for normperioden</t>
  </si>
  <si>
    <t>Kalenderne er "tomme kalendere", uden formateringer, og her kan skolen overskrive og selv lægge ønskede farver på.</t>
  </si>
  <si>
    <t>Langfredag</t>
  </si>
  <si>
    <t>$$</t>
  </si>
  <si>
    <t>2. Pinsedag</t>
  </si>
  <si>
    <t>Kr. Himmelfartsdag</t>
  </si>
  <si>
    <t>Palmesøndag</t>
  </si>
  <si>
    <t>Pinsedag</t>
  </si>
  <si>
    <t>Nul-dage</t>
  </si>
  <si>
    <t>Skema 1 Mandag</t>
  </si>
  <si>
    <t>Skema 1 Tirsdag</t>
  </si>
  <si>
    <t>Skema 1 Onsdag</t>
  </si>
  <si>
    <t>Skema 1 Fredag</t>
  </si>
  <si>
    <t>Skema 1 Torsdag</t>
  </si>
  <si>
    <t>Skema 2 Mandag</t>
  </si>
  <si>
    <t>Skema 2 Tirsdag</t>
  </si>
  <si>
    <t>Skema 2 Onsdag</t>
  </si>
  <si>
    <t>Skema 2 Torsdag</t>
  </si>
  <si>
    <t>Skema 2 Fredag</t>
  </si>
  <si>
    <t>Skema 3 Mandag</t>
  </si>
  <si>
    <t>Skema 3 Tirsdag</t>
  </si>
  <si>
    <t>Skema 3 Onsdag</t>
  </si>
  <si>
    <t>Skema 3 Torsdag</t>
  </si>
  <si>
    <t>Skema 3 Fredag</t>
  </si>
  <si>
    <t>Skema 4 Mandag</t>
  </si>
  <si>
    <t>Skema 4 Tirsdag</t>
  </si>
  <si>
    <t>Skema 4 Onsdag</t>
  </si>
  <si>
    <t>Skema 4 Torsdag</t>
  </si>
  <si>
    <t>Skema 4 Fredag</t>
  </si>
  <si>
    <t>Skema 1</t>
  </si>
  <si>
    <t>Skema 2</t>
  </si>
  <si>
    <t>Skema 3</t>
  </si>
  <si>
    <t>Skema 4</t>
  </si>
  <si>
    <t>Feriedag</t>
  </si>
  <si>
    <t>Emnedag</t>
  </si>
  <si>
    <t xml:space="preserve">Lejrskole </t>
  </si>
  <si>
    <t xml:space="preserve">Pæd.dag </t>
  </si>
  <si>
    <t>Grundlovsdag</t>
  </si>
  <si>
    <t>fagdag/emnedage</t>
  </si>
  <si>
    <t>Weekenddage</t>
  </si>
  <si>
    <t>Nuldage</t>
  </si>
  <si>
    <t>Til brug for at beregne korrekt årsnorm hvis skolen planlægger noget hen over en weekend.</t>
  </si>
  <si>
    <t>weekenddage m. arb.</t>
  </si>
  <si>
    <t>Antal mulige arb.dage</t>
  </si>
  <si>
    <t>Antal mulige arbejdsdage for et helt skoleår(dage-weekenddage) Bruges som forhold til 1924</t>
  </si>
  <si>
    <t>Antal dage der udelukkende vedrører pausetid i week og hvor lejrskole og eskursioner mm er ude</t>
  </si>
  <si>
    <t>2. påskedag</t>
  </si>
  <si>
    <t>Juledag</t>
  </si>
  <si>
    <t xml:space="preserve">Kalenderen er </t>
  </si>
  <si>
    <t>VIGTIGT:</t>
  </si>
  <si>
    <t>IKKE en del af værktøjet til planlægning af skoleåret 2024-2025. Denne kalender er UDELUKKENDE til at skolen kan skabe et overblik over hvilke dage året byder på.</t>
  </si>
  <si>
    <t>Planlægningsværktøjet for skoleråret 2024-2025 er et andet værktøj, og bliver udarbejdet primo 2024.</t>
  </si>
  <si>
    <t>Kr. Himmefartsdag</t>
  </si>
  <si>
    <t>ramadan starter</t>
  </si>
  <si>
    <t>eid aladha</t>
  </si>
  <si>
    <t>eid fitr dag</t>
  </si>
  <si>
    <t>sportsdag</t>
  </si>
  <si>
    <t>klasselærerdag</t>
  </si>
  <si>
    <t>bonbonland tur</t>
  </si>
  <si>
    <t>0-DAG</t>
  </si>
  <si>
    <t>0-DAG EIDDAG</t>
  </si>
  <si>
    <t>P--DAG 9-15 lærere</t>
  </si>
  <si>
    <t>1-9.kl 8-14</t>
  </si>
  <si>
    <t>bh.kl 10-12</t>
  </si>
  <si>
    <t>motionsdag</t>
  </si>
  <si>
    <t>emneuge</t>
  </si>
  <si>
    <t>Bonbonland 8-17</t>
  </si>
  <si>
    <t>Sportsdag  8-13</t>
  </si>
  <si>
    <t>Årskalender for Al Quds Skole 2024-2025 2.halvår lærer</t>
  </si>
  <si>
    <t>Årskalender for Al Quds Skole 2024-2025 1.halvår lærer</t>
  </si>
  <si>
    <t>0-DAG Grundlovsdag</t>
  </si>
  <si>
    <t>9.kl karameldag</t>
  </si>
  <si>
    <t>lærerensdag</t>
  </si>
  <si>
    <t>8-9.kl termenspr.</t>
  </si>
  <si>
    <t>eid adha</t>
  </si>
  <si>
    <t>FM</t>
  </si>
  <si>
    <t>TM</t>
  </si>
  <si>
    <t>LM</t>
  </si>
  <si>
    <t>studierejse 8-9kl</t>
  </si>
  <si>
    <t>0-3.kl 16.30 -20.30 sommerfest</t>
  </si>
  <si>
    <t>9.kl fremlæggelse</t>
  </si>
  <si>
    <t>Klasselærergad 8-14
9.kl dimisionsfest  17-19</t>
  </si>
  <si>
    <t>elevplan ( 4-7.kl sommerfest 16.30-20.30</t>
  </si>
  <si>
    <t>foto-dag bh og 9.kl</t>
  </si>
  <si>
    <t>Ramadan starter</t>
  </si>
  <si>
    <t>emneuge 0-7.kl 8.10-14
projekt uge 9.kl
praktikuge 8.kl</t>
  </si>
  <si>
    <t>emneuge 0-7.kl 08.10-12.45
projekt uge 9.kl
praktikuge 8.kl
åbenthus 15-17</t>
  </si>
  <si>
    <t>KM</t>
  </si>
  <si>
    <t>FT</t>
  </si>
  <si>
    <t>8-9.kl termenspr.FT</t>
  </si>
  <si>
    <t>studierejse 8-9kl KL.14.45</t>
  </si>
  <si>
    <t>KL.14.45</t>
  </si>
  <si>
    <t>(lærere 8-15</t>
  </si>
  <si>
    <t>Nytårsaftensdag (lærere 8-15)</t>
  </si>
  <si>
    <t>(lærere 8-15)</t>
  </si>
  <si>
    <t>Sommerferie
start/elev) 7.8.25
start/lærer) 4.8.25</t>
  </si>
  <si>
    <t xml:space="preserve">Sommerferie
start/elev) 7.8.25
start/lærer) 4.8.25
</t>
  </si>
  <si>
    <t>O-DAG</t>
  </si>
  <si>
    <t>O-DAG Juleaftensdag</t>
  </si>
  <si>
    <t>08.00-14.00</t>
  </si>
  <si>
    <t>7-8-9.KL FÆLLES IFTAR</t>
  </si>
  <si>
    <t>9.kl mundt t. prøver</t>
  </si>
  <si>
    <t>LM ) 9. kl mundt prøver</t>
  </si>
  <si>
    <t>FM/ 9.kl mundt. prøver</t>
  </si>
  <si>
    <t>0-DAG/eiddag</t>
  </si>
  <si>
    <t>9.kl studierejse AN MK
7.kl lejrtur AT HH AE SJ</t>
  </si>
  <si>
    <t>5.kl lejrtur EK PC RK NC</t>
  </si>
  <si>
    <t>3.kl lejrtur SH RR NE Han</t>
  </si>
  <si>
    <t>studierejse 8-9kl MK HH JN</t>
  </si>
  <si>
    <t>studierejse 8-9kl MK JN HH</t>
  </si>
  <si>
    <t>emneuge 0-7.kl 8.10-14
projekt uge 9.kl 
praktikuge 8.kl</t>
  </si>
  <si>
    <t>FT Elevplaner</t>
  </si>
  <si>
    <t>8/9.kl årskarakter</t>
  </si>
  <si>
    <t>TM til kl. 16.00</t>
  </si>
  <si>
    <t>til kl. 14:45</t>
  </si>
  <si>
    <t>9.kl årskarakter</t>
  </si>
  <si>
    <t>Motionsdag 8-13
kulturnat kl 18-22</t>
  </si>
  <si>
    <t>FT/elevplaner</t>
  </si>
  <si>
    <t>FM /9.kl  forældremøde AN.MK</t>
  </si>
  <si>
    <t>til kl. 14.45</t>
  </si>
  <si>
    <t>TM til kl. 16:00</t>
  </si>
  <si>
    <t>9.kl fremlæggelse 8-15 AN/MK</t>
  </si>
  <si>
    <t>5,3.kl lejrtur KL 15
1A Forældre-info ER</t>
  </si>
  <si>
    <t>1A Konsult ER IS RR</t>
  </si>
  <si>
    <t>6A konsult SP JN AN</t>
  </si>
  <si>
    <t>7B konsult AT CL WF AN  SK</t>
  </si>
  <si>
    <t>8b Konsult TB</t>
  </si>
  <si>
    <t>8b konsult TB</t>
  </si>
  <si>
    <t>6A konsult SP JN AN
0B KONSULT SA , ER, RR</t>
  </si>
  <si>
    <t>1A KONSULT ER, RR,IS</t>
  </si>
  <si>
    <t>3B KONSULT RR, AI IS</t>
  </si>
  <si>
    <t>F-INFO 7B AT,SJ</t>
  </si>
  <si>
    <t>PÆD-DAG 8-14 
ELEV VINTERFERIE</t>
  </si>
  <si>
    <t>1-9.kl 8-14     1. skoledag</t>
  </si>
  <si>
    <t>bh.kl 10-12    2. skoledag</t>
  </si>
  <si>
    <t>F-INFO 7B AT SJ</t>
  </si>
  <si>
    <t>2A KONSULT. JN SH IS
3A konsult SH JN NE</t>
  </si>
  <si>
    <t>3aa konsult SH JN NE</t>
  </si>
  <si>
    <t>9.kl studierejse AN MK
7.kl lejrtur AT HH AE SJ
F-INFO 4A JR
F-INFO 4B AA</t>
  </si>
  <si>
    <t>4A KONSULT JR EK AS
4B konsult AA RI JN</t>
  </si>
  <si>
    <t>5.kl lejrtur EK PC RK NC
F-INFO 8B TB
INFO-8A NK</t>
  </si>
  <si>
    <t>8A KONSULT NK</t>
  </si>
  <si>
    <t>1A KONSULT ER, RR,IS
1B KONSULT AI JR AS</t>
  </si>
  <si>
    <t>8b konsult TB
1B KONSULT AI JR AS</t>
  </si>
  <si>
    <t>F-INFO 6B RK</t>
  </si>
  <si>
    <t>8-9.kl termenspr.
6B KONSULT RK AS NK</t>
  </si>
  <si>
    <t>5B KONSULT EK RK JN</t>
  </si>
  <si>
    <t>6A konsult SP JN AN
0B KONSULT SA , SU RR</t>
  </si>
  <si>
    <t>F-INFO 0B SA SU</t>
  </si>
  <si>
    <t>9.kl konsult AN
0A konsul ER,RR,YZ</t>
  </si>
  <si>
    <t>6B KONSULT RK AS NK
0B KONSULT SA RR SU</t>
  </si>
  <si>
    <t>3A konsult SH JN NE</t>
  </si>
  <si>
    <t>9.kl studierejse AN MK
7.kl lejrtur AT HH AE SJ
F-INFO 5B EK
F-INFO 5A PC</t>
  </si>
  <si>
    <t>5A KONSULT PC AA NE</t>
  </si>
  <si>
    <t>9.kl studierejse
7.kl lejrtur FT
F-INFO 1A IS
F-INFO 2A JN
F-INFO 3.B RR
F-INFO 0A ER YZ
F-INFO3A SH
F-INFO 1A AI
F-INFO 2B RI</t>
  </si>
  <si>
    <t>2B KONSULT RI IS AS</t>
  </si>
  <si>
    <t>5A KONSULT PC AA NE
2B KONSULT RI AS IS
7A KONSULT SJ RR AT SK CL WF</t>
  </si>
  <si>
    <t>7B KONSULT SJ RR AT SK CL WF</t>
  </si>
  <si>
    <t>FT/ tværsmøde</t>
  </si>
  <si>
    <t>TM/LM</t>
  </si>
  <si>
    <t>LM LÆRERMØDE</t>
  </si>
  <si>
    <t>TM TEAMMØDE</t>
  </si>
  <si>
    <t>FM FAGMØDE</t>
  </si>
  <si>
    <t xml:space="preserve">FT FORBEREDELSESMØDE </t>
  </si>
  <si>
    <t>KM KLASSEMØDE</t>
  </si>
  <si>
    <t>Årskalender for Al Quds Skole 2024-2025 1.halvår ELEV</t>
  </si>
  <si>
    <t>ELEV</t>
  </si>
  <si>
    <t>Årskalender for Al Quds Skole 2024-2025 2.halvår ELEV</t>
  </si>
  <si>
    <t>LÆRER</t>
  </si>
  <si>
    <t>PÆD-DAG 8-14
ELEV VINTERFERIE</t>
  </si>
  <si>
    <t>påskeferie</t>
  </si>
  <si>
    <t xml:space="preserve"> EIDDAG</t>
  </si>
  <si>
    <t xml:space="preserve"> Grundlovsdag/feriedag </t>
  </si>
  <si>
    <t xml:space="preserve"> feriedag</t>
  </si>
  <si>
    <t>Pæd-dag 14-19 /skoledag til kl 12.45</t>
  </si>
  <si>
    <t xml:space="preserve"> Elevplaner</t>
  </si>
  <si>
    <t>Juleferie</t>
  </si>
  <si>
    <t xml:space="preserve"> Juleaftensdag</t>
  </si>
  <si>
    <t xml:space="preserve"> EIDDAG-feriedag</t>
  </si>
  <si>
    <t>Påskeferie</t>
  </si>
  <si>
    <t>Pæd-dag 14-19 /skoledag til kl 12.45 elev</t>
  </si>
  <si>
    <t xml:space="preserve"> Grundlovsdag_feriedag</t>
  </si>
  <si>
    <t>Eiddag</t>
  </si>
  <si>
    <t>sommerferie</t>
  </si>
  <si>
    <t>9.kl  forældremøde AN.MK</t>
  </si>
  <si>
    <t>3.kl lejrtur SH RR NE MALAK</t>
  </si>
  <si>
    <t>F-INFO 0B SA SU
F-IMFO 1A IS</t>
  </si>
  <si>
    <t>9.kl studierejse
7.kl lejrtur FT
F-INFO 2A JN
F-INFO 3.B RR
F-INFO 0A ER YZ
F-INFO3A SH
F-INFO 1A AI
F-INFO 2B RI</t>
  </si>
  <si>
    <t>5A KONSULT PC AA NE
2B KONSULT RI AS IS
7A KONSULT SJ RR  SK CL WF</t>
  </si>
  <si>
    <t>7A KONSULT SJ RR  SK CL WF</t>
  </si>
  <si>
    <t>7A KONSULT SJ RR SK CL WF</t>
  </si>
  <si>
    <t>7B konsult AT CL WF AN  SK
2A KONSULT JN SH IS
0A konsult ER,RR,YZ
FP9 DA 9-12.30</t>
  </si>
  <si>
    <t>FP9 9.kl skrift  9-10.30</t>
  </si>
  <si>
    <t>FP9 MAT 9-13</t>
  </si>
  <si>
    <t>FT/ tværsmøde
FP9 ENG 9-12 UDTRFAG</t>
  </si>
  <si>
    <t>FP9 BIO-GEO-FYS 9-10</t>
  </si>
  <si>
    <t>FP9 TYS 9-12</t>
  </si>
  <si>
    <t>TM
9.KL MUNDT</t>
  </si>
  <si>
    <t xml:space="preserve">
8A KONSULT NK</t>
  </si>
  <si>
    <t xml:space="preserve">
FP9 ENG 9-12 UDTRFAG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</si>
</sst>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-* #,##0_-;\-* #,##0_-;_-* &quot;-&quot;_-;_-@_-"/>
    <numFmt numFmtId="43" formatCode="_-* #,##0.00_-;\-* #,##0.00_-;_-* &quot;-&quot;??_-;_-@_-"/>
    <numFmt numFmtId="164" formatCode="_-* #,##0.00\ _k_r_-;\-* #,##0.00\ _k_r_-;_-* &quot;-&quot;??\ _k_r_-;_-@_-"/>
    <numFmt numFmtId="165" formatCode="mm"/>
    <numFmt numFmtId="166" formatCode="_-&quot;kr.&quot;* #,##0_-;\-&quot;kr.&quot;* #,##0_-;_-&quot;kr.&quot;* &quot;-&quot;_-;_-@_-"/>
    <numFmt numFmtId="167" formatCode="_-&quot;kr.&quot;* #,##0.00_-;\-&quot;kr.&quot;* #,##0.00_-;_-&quot;kr.&quot;* &quot;-&quot;??_-;_-@_-"/>
    <numFmt numFmtId="168" formatCode="#,##0.0"/>
    <numFmt numFmtId="169" formatCode="#,##0.0000"/>
    <numFmt numFmtId="170" formatCode="#,##0.00&quot;kr.&quot;;\-#,##0.00&quot;kr.&quot;"/>
    <numFmt numFmtId="171" formatCode="0.0%"/>
    <numFmt numFmtId="172" formatCode="000\-000"/>
    <numFmt numFmtId="173" formatCode=";;;"/>
  </numFmts>
  <fonts count="4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0"/>
      <name val="Arial"/>
      <family val="2"/>
    </font>
    <font>
      <b/>
      <sz val="24"/>
      <name val="Arial"/>
      <family val="2"/>
    </font>
    <font>
      <sz val="12"/>
      <name val="Helvetica"/>
      <family val="2"/>
    </font>
    <font>
      <b/>
      <sz val="14"/>
      <name val="Helvetica"/>
      <family val="2"/>
    </font>
    <font>
      <sz val="9"/>
      <name val="Helvetica"/>
      <family val="2"/>
    </font>
    <font>
      <sz val="8"/>
      <name val="Arial"/>
      <family val="2"/>
    </font>
    <font>
      <sz val="14"/>
      <name val="Helvetica"/>
      <family val="2"/>
    </font>
    <font>
      <sz val="12"/>
      <name val="Arial"/>
      <family val="2"/>
    </font>
    <font>
      <sz val="12"/>
      <name val="Chicago"/>
      <family val="2"/>
    </font>
    <font>
      <sz val="10"/>
      <name val="Courier"/>
      <family val="1"/>
    </font>
    <font>
      <u/>
      <sz val="10"/>
      <color indexed="36"/>
      <name val="Arial"/>
      <family val="2"/>
    </font>
    <font>
      <sz val="10"/>
      <name val="Helvetica"/>
      <family val="2"/>
    </font>
    <font>
      <b/>
      <sz val="12"/>
      <name val="Arial"/>
      <family val="2"/>
    </font>
    <font>
      <b/>
      <sz val="12"/>
      <name val="Helvetica"/>
      <family val="2"/>
    </font>
    <font>
      <sz val="8"/>
      <name val="Helvetica"/>
      <family val="2"/>
    </font>
    <font>
      <sz val="9"/>
      <name val="Arial"/>
      <family val="2"/>
    </font>
    <font>
      <sz val="10"/>
      <color indexed="12"/>
      <name val="Arial"/>
      <family val="2"/>
    </font>
    <font>
      <b/>
      <sz val="10"/>
      <name val="Helvetica"/>
      <family val="2"/>
    </font>
    <font>
      <sz val="14"/>
      <name val="Arial"/>
      <family val="2"/>
    </font>
    <font>
      <b/>
      <sz val="14"/>
      <name val="Arial"/>
      <family val="2"/>
    </font>
    <font>
      <sz val="24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4"/>
      <color indexed="10"/>
      <name val="Helvetica"/>
      <family val="2"/>
    </font>
    <font>
      <b/>
      <sz val="10"/>
      <color theme="0"/>
      <name val="Arial"/>
      <family val="2"/>
    </font>
    <font>
      <sz val="12"/>
      <color theme="0"/>
      <name val="Arial"/>
      <family val="2"/>
    </font>
    <font>
      <sz val="12"/>
      <color rgb="FFFF0000"/>
      <name val="Arial"/>
      <family val="2"/>
    </font>
    <font>
      <sz val="12"/>
      <color rgb="FFFF0000"/>
      <name val="Helvetica"/>
      <family val="2"/>
    </font>
    <font>
      <b/>
      <sz val="14"/>
      <color rgb="FFFF0000"/>
      <name val="Arial"/>
      <family val="2"/>
    </font>
    <font>
      <sz val="10"/>
      <color rgb="FFFF0000"/>
      <name val="Arial"/>
      <family val="2"/>
    </font>
    <font>
      <b/>
      <sz val="16"/>
      <color rgb="FFFF0000"/>
      <name val="Arial"/>
      <family val="2"/>
    </font>
    <font>
      <b/>
      <sz val="12"/>
      <color rgb="FFFF0000"/>
      <name val="Arial"/>
      <family val="2"/>
    </font>
    <font>
      <sz val="9"/>
      <color theme="0"/>
      <name val="Arial"/>
      <family val="2"/>
    </font>
    <font>
      <b/>
      <sz val="24"/>
      <name val="Albertus Extra Bold"/>
      <family val="2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EFB4B"/>
        <bgColor indexed="64"/>
      </patternFill>
    </fill>
    <fill>
      <patternFill patternType="solid">
        <fgColor indexed="42"/>
        <bgColor indexed="64"/>
      </patternFill>
    </fill>
    <fill>
      <patternFill patternType="gray0625"/>
    </fill>
    <fill>
      <patternFill patternType="lightGray"/>
    </fill>
    <fill>
      <patternFill patternType="solid">
        <fgColor indexed="9"/>
        <bgColor indexed="64"/>
      </patternFill>
    </fill>
    <fill>
      <patternFill patternType="solid">
        <fgColor rgb="FFFF2F8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6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double">
        <color auto="1"/>
      </top>
      <bottom style="thin">
        <color auto="1"/>
      </bottom>
      <diagonal/>
    </border>
  </borders>
  <cellStyleXfs count="536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1" fillId="0" borderId="0"/>
    <xf numFmtId="0" fontId="13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9" fillId="0" borderId="44" applyNumberFormat="0" applyFill="0" applyBorder="0" applyProtection="0">
      <alignment horizontal="center"/>
    </xf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3" fontId="20" fillId="8" borderId="36" applyFill="0" applyBorder="0" applyAlignment="0">
      <alignment horizontal="center"/>
    </xf>
    <xf numFmtId="16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3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4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72" fontId="22" fillId="0" borderId="0" applyFont="0" applyFill="0" applyBorder="0" applyProtection="0">
      <alignment horizontal="center"/>
    </xf>
    <xf numFmtId="0" fontId="11" fillId="9" borderId="0" applyNumberFormat="0" applyFont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305">
    <xf numFmtId="0" fontId="0" fillId="0" borderId="0" xfId="0"/>
    <xf numFmtId="0" fontId="0" fillId="4" borderId="1" xfId="0" applyFill="1" applyBorder="1"/>
    <xf numFmtId="0" fontId="0" fillId="0" borderId="0" xfId="0" applyAlignment="1">
      <alignment horizontal="left" wrapText="1"/>
    </xf>
    <xf numFmtId="0" fontId="0" fillId="2" borderId="0" xfId="0" applyFill="1"/>
    <xf numFmtId="0" fontId="6" fillId="0" borderId="0" xfId="0" applyFont="1"/>
    <xf numFmtId="0" fontId="7" fillId="0" borderId="0" xfId="0" applyFont="1"/>
    <xf numFmtId="0" fontId="5" fillId="5" borderId="23" xfId="0" applyFont="1" applyFill="1" applyBorder="1"/>
    <xf numFmtId="0" fontId="5" fillId="5" borderId="24" xfId="0" applyFont="1" applyFill="1" applyBorder="1"/>
    <xf numFmtId="0" fontId="5" fillId="5" borderId="25" xfId="0" applyFont="1" applyFill="1" applyBorder="1"/>
    <xf numFmtId="0" fontId="5" fillId="4" borderId="20" xfId="0" applyFont="1" applyFill="1" applyBorder="1"/>
    <xf numFmtId="0" fontId="0" fillId="4" borderId="21" xfId="0" applyFill="1" applyBorder="1"/>
    <xf numFmtId="0" fontId="0" fillId="4" borderId="22" xfId="0" applyFill="1" applyBorder="1"/>
    <xf numFmtId="0" fontId="0" fillId="2" borderId="26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0" xfId="0" applyFill="1" applyBorder="1" applyProtection="1">
      <protection locked="0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2" fontId="0" fillId="5" borderId="1" xfId="0" applyNumberFormat="1" applyFill="1" applyBorder="1" applyAlignment="1">
      <alignment horizontal="center" wrapText="1"/>
    </xf>
    <xf numFmtId="2" fontId="0" fillId="5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2" fontId="0" fillId="6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11" fillId="0" borderId="0" xfId="372"/>
    <xf numFmtId="1" fontId="11" fillId="0" borderId="0" xfId="372" applyNumberFormat="1"/>
    <xf numFmtId="0" fontId="11" fillId="0" borderId="42" xfId="372" applyBorder="1"/>
    <xf numFmtId="0" fontId="11" fillId="0" borderId="43" xfId="372" applyBorder="1"/>
    <xf numFmtId="0" fontId="11" fillId="0" borderId="10" xfId="372" applyBorder="1"/>
    <xf numFmtId="0" fontId="25" fillId="0" borderId="0" xfId="372" applyFont="1" applyAlignment="1">
      <alignment horizontal="right"/>
    </xf>
    <xf numFmtId="0" fontId="15" fillId="0" borderId="0" xfId="372" applyFont="1" applyAlignment="1">
      <alignment horizontal="right"/>
    </xf>
    <xf numFmtId="0" fontId="11" fillId="0" borderId="4" xfId="372" applyBorder="1"/>
    <xf numFmtId="0" fontId="11" fillId="0" borderId="5" xfId="372" applyBorder="1"/>
    <xf numFmtId="0" fontId="26" fillId="0" borderId="48" xfId="372" applyFont="1" applyBorder="1"/>
    <xf numFmtId="0" fontId="11" fillId="0" borderId="40" xfId="372" applyBorder="1"/>
    <xf numFmtId="0" fontId="11" fillId="0" borderId="48" xfId="372" applyBorder="1"/>
    <xf numFmtId="0" fontId="11" fillId="0" borderId="10" xfId="372" applyBorder="1" applyAlignment="1">
      <alignment horizontal="center"/>
    </xf>
    <xf numFmtId="0" fontId="11" fillId="0" borderId="0" xfId="372" applyAlignment="1">
      <alignment horizontal="center"/>
    </xf>
    <xf numFmtId="0" fontId="11" fillId="10" borderId="0" xfId="372" applyFill="1"/>
    <xf numFmtId="0" fontId="11" fillId="0" borderId="0" xfId="372" applyProtection="1">
      <protection locked="0"/>
    </xf>
    <xf numFmtId="0" fontId="11" fillId="0" borderId="10" xfId="372" applyBorder="1" applyProtection="1">
      <protection locked="0"/>
    </xf>
    <xf numFmtId="1" fontId="25" fillId="0" borderId="0" xfId="372" applyNumberFormat="1" applyFont="1" applyAlignment="1" applyProtection="1">
      <alignment horizontal="right" vertical="top" wrapText="1"/>
      <protection locked="0"/>
    </xf>
    <xf numFmtId="0" fontId="28" fillId="0" borderId="34" xfId="372" applyFont="1" applyBorder="1" applyAlignment="1">
      <alignment horizontal="centerContinuous"/>
    </xf>
    <xf numFmtId="0" fontId="28" fillId="0" borderId="2" xfId="372" applyFont="1" applyBorder="1" applyAlignment="1">
      <alignment horizontal="centerContinuous"/>
    </xf>
    <xf numFmtId="173" fontId="11" fillId="0" borderId="0" xfId="372" applyNumberFormat="1"/>
    <xf numFmtId="0" fontId="24" fillId="0" borderId="0" xfId="372" applyFont="1"/>
    <xf numFmtId="0" fontId="33" fillId="0" borderId="0" xfId="372" applyFont="1"/>
    <xf numFmtId="0" fontId="33" fillId="2" borderId="0" xfId="372" applyFont="1" applyFill="1"/>
    <xf numFmtId="0" fontId="29" fillId="0" borderId="0" xfId="372" applyFont="1"/>
    <xf numFmtId="0" fontId="11" fillId="0" borderId="4" xfId="372" applyBorder="1" applyAlignment="1">
      <alignment horizontal="center"/>
    </xf>
    <xf numFmtId="0" fontId="11" fillId="0" borderId="5" xfId="372" applyBorder="1" applyAlignment="1">
      <alignment horizontal="center"/>
    </xf>
    <xf numFmtId="0" fontId="27" fillId="7" borderId="5" xfId="372" applyFont="1" applyFill="1" applyBorder="1" applyProtection="1">
      <protection locked="0"/>
    </xf>
    <xf numFmtId="1" fontId="25" fillId="7" borderId="6" xfId="372" applyNumberFormat="1" applyFont="1" applyFill="1" applyBorder="1" applyAlignment="1">
      <alignment horizontal="right" vertical="top" wrapText="1"/>
    </xf>
    <xf numFmtId="0" fontId="22" fillId="0" borderId="0" xfId="375" applyFont="1" applyProtection="1"/>
    <xf numFmtId="0" fontId="35" fillId="15" borderId="11" xfId="372" applyFont="1" applyFill="1" applyBorder="1"/>
    <xf numFmtId="0" fontId="33" fillId="15" borderId="37" xfId="372" applyFont="1" applyFill="1" applyBorder="1"/>
    <xf numFmtId="0" fontId="11" fillId="0" borderId="52" xfId="372" applyBorder="1"/>
    <xf numFmtId="0" fontId="11" fillId="0" borderId="53" xfId="372" applyBorder="1"/>
    <xf numFmtId="0" fontId="11" fillId="13" borderId="54" xfId="372" applyFill="1" applyBorder="1"/>
    <xf numFmtId="0" fontId="11" fillId="13" borderId="55" xfId="372" applyFill="1" applyBorder="1"/>
    <xf numFmtId="0" fontId="26" fillId="3" borderId="54" xfId="372" applyFont="1" applyFill="1" applyBorder="1"/>
    <xf numFmtId="0" fontId="11" fillId="3" borderId="55" xfId="372" applyFill="1" applyBorder="1"/>
    <xf numFmtId="0" fontId="11" fillId="4" borderId="54" xfId="372" applyFill="1" applyBorder="1"/>
    <xf numFmtId="0" fontId="11" fillId="4" borderId="55" xfId="372" applyFill="1" applyBorder="1"/>
    <xf numFmtId="0" fontId="11" fillId="11" borderId="54" xfId="372" applyFill="1" applyBorder="1"/>
    <xf numFmtId="0" fontId="11" fillId="11" borderId="55" xfId="372" applyFill="1" applyBorder="1"/>
    <xf numFmtId="0" fontId="11" fillId="12" borderId="54" xfId="372" applyFill="1" applyBorder="1"/>
    <xf numFmtId="0" fontId="11" fillId="12" borderId="55" xfId="372" applyFill="1" applyBorder="1"/>
    <xf numFmtId="0" fontId="18" fillId="0" borderId="0" xfId="372" applyFont="1" applyAlignment="1">
      <alignment horizontal="left"/>
    </xf>
    <xf numFmtId="0" fontId="11" fillId="0" borderId="0" xfId="372" applyAlignment="1" applyProtection="1">
      <alignment horizontal="left"/>
      <protection locked="0"/>
    </xf>
    <xf numFmtId="0" fontId="15" fillId="0" borderId="0" xfId="375" applyFill="1" applyProtection="1"/>
    <xf numFmtId="0" fontId="34" fillId="3" borderId="0" xfId="372" applyFont="1" applyFill="1" applyProtection="1">
      <protection locked="0"/>
    </xf>
    <xf numFmtId="0" fontId="11" fillId="2" borderId="0" xfId="372" applyFill="1"/>
    <xf numFmtId="0" fontId="11" fillId="0" borderId="3" xfId="372" applyBorder="1"/>
    <xf numFmtId="0" fontId="33" fillId="15" borderId="33" xfId="372" applyFont="1" applyFill="1" applyBorder="1"/>
    <xf numFmtId="0" fontId="0" fillId="0" borderId="0" xfId="343" applyNumberFormat="1" applyFont="1"/>
    <xf numFmtId="1" fontId="16" fillId="2" borderId="38" xfId="372" applyNumberFormat="1" applyFont="1" applyFill="1" applyBorder="1" applyAlignment="1" applyProtection="1">
      <alignment vertical="top"/>
      <protection locked="0"/>
    </xf>
    <xf numFmtId="1" fontId="16" fillId="2" borderId="7" xfId="372" applyNumberFormat="1" applyFont="1" applyFill="1" applyBorder="1" applyAlignment="1" applyProtection="1">
      <alignment vertical="top"/>
      <protection locked="0"/>
    </xf>
    <xf numFmtId="0" fontId="33" fillId="10" borderId="0" xfId="372" applyFont="1" applyFill="1"/>
    <xf numFmtId="0" fontId="11" fillId="0" borderId="50" xfId="372" applyBorder="1"/>
    <xf numFmtId="0" fontId="11" fillId="0" borderId="49" xfId="372" applyBorder="1"/>
    <xf numFmtId="0" fontId="11" fillId="0" borderId="41" xfId="372" applyBorder="1"/>
    <xf numFmtId="0" fontId="11" fillId="0" borderId="45" xfId="372" applyBorder="1"/>
    <xf numFmtId="0" fontId="11" fillId="0" borderId="46" xfId="372" applyBorder="1"/>
    <xf numFmtId="0" fontId="11" fillId="0" borderId="38" xfId="372" applyBorder="1"/>
    <xf numFmtId="0" fontId="11" fillId="2" borderId="49" xfId="372" applyFill="1" applyBorder="1"/>
    <xf numFmtId="0" fontId="11" fillId="2" borderId="41" xfId="372" applyFill="1" applyBorder="1"/>
    <xf numFmtId="0" fontId="11" fillId="2" borderId="46" xfId="372" applyFill="1" applyBorder="1"/>
    <xf numFmtId="0" fontId="15" fillId="0" borderId="0" xfId="535" applyProtection="1"/>
    <xf numFmtId="0" fontId="11" fillId="0" borderId="59" xfId="372" applyBorder="1"/>
    <xf numFmtId="0" fontId="11" fillId="0" borderId="39" xfId="372" applyBorder="1"/>
    <xf numFmtId="0" fontId="11" fillId="0" borderId="1" xfId="372" applyBorder="1"/>
    <xf numFmtId="0" fontId="11" fillId="14" borderId="54" xfId="372" applyFill="1" applyBorder="1"/>
    <xf numFmtId="0" fontId="11" fillId="14" borderId="55" xfId="372" applyFill="1" applyBorder="1"/>
    <xf numFmtId="0" fontId="11" fillId="16" borderId="54" xfId="372" applyFill="1" applyBorder="1"/>
    <xf numFmtId="0" fontId="11" fillId="16" borderId="55" xfId="372" applyFill="1" applyBorder="1"/>
    <xf numFmtId="0" fontId="32" fillId="0" borderId="57" xfId="372" applyFont="1" applyBorder="1"/>
    <xf numFmtId="0" fontId="33" fillId="15" borderId="56" xfId="372" applyFont="1" applyFill="1" applyBorder="1"/>
    <xf numFmtId="0" fontId="32" fillId="0" borderId="58" xfId="372" applyFont="1" applyBorder="1"/>
    <xf numFmtId="0" fontId="11" fillId="0" borderId="60" xfId="372" applyBorder="1"/>
    <xf numFmtId="173" fontId="33" fillId="0" borderId="0" xfId="372" applyNumberFormat="1" applyFont="1"/>
    <xf numFmtId="0" fontId="33" fillId="0" borderId="0" xfId="372" applyFont="1" applyAlignment="1">
      <alignment horizontal="left"/>
    </xf>
    <xf numFmtId="0" fontId="14" fillId="2" borderId="0" xfId="372" applyFont="1" applyFill="1" applyAlignment="1">
      <alignment horizontal="left"/>
    </xf>
    <xf numFmtId="0" fontId="11" fillId="2" borderId="2" xfId="372" applyFill="1" applyBorder="1" applyAlignment="1">
      <alignment horizontal="center"/>
    </xf>
    <xf numFmtId="0" fontId="11" fillId="2" borderId="10" xfId="372" applyFill="1" applyBorder="1" applyAlignment="1">
      <alignment horizontal="center"/>
    </xf>
    <xf numFmtId="0" fontId="11" fillId="2" borderId="10" xfId="372" applyFill="1" applyBorder="1" applyProtection="1">
      <protection locked="0"/>
    </xf>
    <xf numFmtId="0" fontId="11" fillId="2" borderId="3" xfId="372" applyFill="1" applyBorder="1" applyAlignment="1">
      <alignment horizontal="center"/>
    </xf>
    <xf numFmtId="0" fontId="11" fillId="2" borderId="0" xfId="372" applyFill="1" applyAlignment="1">
      <alignment horizontal="center"/>
    </xf>
    <xf numFmtId="0" fontId="11" fillId="2" borderId="0" xfId="372" applyFill="1" applyProtection="1">
      <protection locked="0"/>
    </xf>
    <xf numFmtId="0" fontId="18" fillId="2" borderId="38" xfId="372" applyFont="1" applyFill="1" applyBorder="1" applyAlignment="1">
      <alignment vertical="top" wrapText="1"/>
    </xf>
    <xf numFmtId="0" fontId="38" fillId="2" borderId="0" xfId="372" applyFont="1" applyFill="1"/>
    <xf numFmtId="0" fontId="39" fillId="2" borderId="0" xfId="372" applyFont="1" applyFill="1"/>
    <xf numFmtId="0" fontId="32" fillId="0" borderId="0" xfId="372" applyFont="1"/>
    <xf numFmtId="0" fontId="32" fillId="2" borderId="0" xfId="372" applyFont="1" applyFill="1"/>
    <xf numFmtId="0" fontId="40" fillId="0" borderId="0" xfId="372" applyFont="1"/>
    <xf numFmtId="1" fontId="40" fillId="0" borderId="0" xfId="372" applyNumberFormat="1" applyFont="1"/>
    <xf numFmtId="0" fontId="41" fillId="0" borderId="0" xfId="372" applyFont="1"/>
    <xf numFmtId="0" fontId="42" fillId="0" borderId="0" xfId="372" applyFont="1"/>
    <xf numFmtId="0" fontId="37" fillId="0" borderId="0" xfId="372" applyFont="1" applyAlignment="1">
      <alignment horizontal="right"/>
    </xf>
    <xf numFmtId="0" fontId="11" fillId="2" borderId="4" xfId="372" applyFill="1" applyBorder="1" applyAlignment="1">
      <alignment horizontal="center"/>
    </xf>
    <xf numFmtId="0" fontId="11" fillId="2" borderId="5" xfId="372" applyFill="1" applyBorder="1" applyAlignment="1">
      <alignment horizontal="center"/>
    </xf>
    <xf numFmtId="0" fontId="11" fillId="2" borderId="5" xfId="372" applyFill="1" applyBorder="1" applyProtection="1">
      <protection locked="0"/>
    </xf>
    <xf numFmtId="1" fontId="26" fillId="2" borderId="6" xfId="372" applyNumberFormat="1" applyFont="1" applyFill="1" applyBorder="1" applyAlignment="1">
      <alignment horizontal="center"/>
    </xf>
    <xf numFmtId="0" fontId="11" fillId="4" borderId="4" xfId="372" applyFill="1" applyBorder="1" applyAlignment="1">
      <alignment horizontal="center"/>
    </xf>
    <xf numFmtId="0" fontId="11" fillId="4" borderId="5" xfId="372" applyFill="1" applyBorder="1" applyAlignment="1">
      <alignment horizontal="center"/>
    </xf>
    <xf numFmtId="0" fontId="11" fillId="4" borderId="5" xfId="372" applyFill="1" applyBorder="1" applyProtection="1">
      <protection locked="0"/>
    </xf>
    <xf numFmtId="1" fontId="26" fillId="4" borderId="6" xfId="372" applyNumberFormat="1" applyFont="1" applyFill="1" applyBorder="1" applyAlignment="1">
      <alignment horizontal="center"/>
    </xf>
    <xf numFmtId="0" fontId="11" fillId="4" borderId="27" xfId="372" applyFill="1" applyBorder="1" applyAlignment="1">
      <alignment horizontal="center"/>
    </xf>
    <xf numFmtId="0" fontId="11" fillId="2" borderId="27" xfId="372" applyFill="1" applyBorder="1" applyAlignment="1">
      <alignment horizontal="center"/>
    </xf>
    <xf numFmtId="1" fontId="26" fillId="2" borderId="5" xfId="372" applyNumberFormat="1" applyFont="1" applyFill="1" applyBorder="1" applyAlignment="1">
      <alignment horizontal="center"/>
    </xf>
    <xf numFmtId="1" fontId="26" fillId="4" borderId="5" xfId="372" applyNumberFormat="1" applyFont="1" applyFill="1" applyBorder="1" applyAlignment="1">
      <alignment horizontal="center"/>
    </xf>
    <xf numFmtId="1" fontId="16" fillId="2" borderId="38" xfId="372" applyNumberFormat="1" applyFont="1" applyFill="1" applyBorder="1" applyAlignment="1" applyProtection="1">
      <alignment horizontal="right" vertical="top" wrapText="1"/>
      <protection locked="0"/>
    </xf>
    <xf numFmtId="0" fontId="11" fillId="2" borderId="6" xfId="372" applyFill="1" applyBorder="1" applyAlignment="1">
      <alignment horizontal="center"/>
    </xf>
    <xf numFmtId="0" fontId="26" fillId="4" borderId="6" xfId="372" applyFont="1" applyFill="1" applyBorder="1" applyAlignment="1">
      <alignment horizontal="center"/>
    </xf>
    <xf numFmtId="0" fontId="26" fillId="2" borderId="6" xfId="372" applyFont="1" applyFill="1" applyBorder="1" applyAlignment="1">
      <alignment horizontal="center"/>
    </xf>
    <xf numFmtId="0" fontId="11" fillId="0" borderId="2" xfId="372" applyBorder="1" applyAlignment="1">
      <alignment horizontal="center"/>
    </xf>
    <xf numFmtId="0" fontId="27" fillId="0" borderId="10" xfId="372" applyFont="1" applyBorder="1" applyProtection="1">
      <protection locked="0"/>
    </xf>
    <xf numFmtId="1" fontId="25" fillId="0" borderId="10" xfId="372" applyNumberFormat="1" applyFont="1" applyBorder="1" applyAlignment="1">
      <alignment horizontal="right" vertical="top" wrapText="1"/>
    </xf>
    <xf numFmtId="0" fontId="11" fillId="4" borderId="6" xfId="372" applyFill="1" applyBorder="1" applyAlignment="1">
      <alignment horizontal="center"/>
    </xf>
    <xf numFmtId="0" fontId="26" fillId="2" borderId="5" xfId="372" applyFont="1" applyFill="1" applyBorder="1" applyProtection="1">
      <protection locked="0"/>
    </xf>
    <xf numFmtId="0" fontId="36" fillId="2" borderId="38" xfId="372" applyFont="1" applyFill="1" applyBorder="1" applyAlignment="1">
      <alignment wrapText="1"/>
    </xf>
    <xf numFmtId="0" fontId="11" fillId="3" borderId="4" xfId="372" applyFill="1" applyBorder="1" applyAlignment="1">
      <alignment horizontal="center"/>
    </xf>
    <xf numFmtId="0" fontId="11" fillId="3" borderId="5" xfId="372" applyFill="1" applyBorder="1" applyAlignment="1">
      <alignment horizontal="center"/>
    </xf>
    <xf numFmtId="0" fontId="11" fillId="3" borderId="5" xfId="372" applyFill="1" applyBorder="1" applyProtection="1">
      <protection locked="0"/>
    </xf>
    <xf numFmtId="1" fontId="26" fillId="3" borderId="6" xfId="372" applyNumberFormat="1" applyFont="1" applyFill="1" applyBorder="1" applyAlignment="1">
      <alignment horizontal="center"/>
    </xf>
    <xf numFmtId="1" fontId="26" fillId="3" borderId="5" xfId="372" applyNumberFormat="1" applyFont="1" applyFill="1" applyBorder="1" applyAlignment="1">
      <alignment horizontal="center"/>
    </xf>
    <xf numFmtId="0" fontId="11" fillId="17" borderId="5" xfId="372" applyFill="1" applyBorder="1" applyAlignment="1">
      <alignment horizontal="center"/>
    </xf>
    <xf numFmtId="0" fontId="11" fillId="17" borderId="5" xfId="372" applyFill="1" applyBorder="1" applyProtection="1">
      <protection locked="0"/>
    </xf>
    <xf numFmtId="1" fontId="26" fillId="17" borderId="6" xfId="372" applyNumberFormat="1" applyFont="1" applyFill="1" applyBorder="1" applyAlignment="1">
      <alignment horizontal="center"/>
    </xf>
    <xf numFmtId="0" fontId="11" fillId="17" borderId="27" xfId="372" applyFill="1" applyBorder="1" applyAlignment="1">
      <alignment horizontal="center"/>
    </xf>
    <xf numFmtId="0" fontId="11" fillId="17" borderId="6" xfId="372" applyFill="1" applyBorder="1" applyAlignment="1">
      <alignment horizontal="center"/>
    </xf>
    <xf numFmtId="0" fontId="11" fillId="18" borderId="5" xfId="372" applyFill="1" applyBorder="1" applyAlignment="1">
      <alignment horizontal="center"/>
    </xf>
    <xf numFmtId="0" fontId="11" fillId="18" borderId="5" xfId="372" applyFill="1" applyBorder="1" applyProtection="1">
      <protection locked="0"/>
    </xf>
    <xf numFmtId="1" fontId="26" fillId="18" borderId="6" xfId="372" applyNumberFormat="1" applyFont="1" applyFill="1" applyBorder="1" applyAlignment="1">
      <alignment horizontal="center"/>
    </xf>
    <xf numFmtId="1" fontId="26" fillId="18" borderId="5" xfId="372" applyNumberFormat="1" applyFont="1" applyFill="1" applyBorder="1" applyAlignment="1">
      <alignment horizontal="center"/>
    </xf>
    <xf numFmtId="0" fontId="11" fillId="4" borderId="2" xfId="372" applyFill="1" applyBorder="1" applyAlignment="1">
      <alignment horizontal="center"/>
    </xf>
    <xf numFmtId="0" fontId="11" fillId="4" borderId="10" xfId="372" applyFill="1" applyBorder="1" applyAlignment="1">
      <alignment horizontal="center"/>
    </xf>
    <xf numFmtId="0" fontId="11" fillId="4" borderId="10" xfId="372" applyFill="1" applyBorder="1" applyProtection="1">
      <protection locked="0"/>
    </xf>
    <xf numFmtId="0" fontId="11" fillId="4" borderId="7" xfId="372" applyFill="1" applyBorder="1" applyAlignment="1">
      <alignment horizontal="center"/>
    </xf>
    <xf numFmtId="1" fontId="26" fillId="2" borderId="38" xfId="372" applyNumberFormat="1" applyFont="1" applyFill="1" applyBorder="1" applyAlignment="1">
      <alignment horizontal="center"/>
    </xf>
    <xf numFmtId="0" fontId="11" fillId="3" borderId="3" xfId="372" applyFill="1" applyBorder="1" applyAlignment="1">
      <alignment horizontal="center"/>
    </xf>
    <xf numFmtId="0" fontId="11" fillId="3" borderId="0" xfId="372" applyFill="1" applyAlignment="1">
      <alignment horizontal="center"/>
    </xf>
    <xf numFmtId="1" fontId="26" fillId="3" borderId="38" xfId="372" applyNumberFormat="1" applyFont="1" applyFill="1" applyBorder="1" applyAlignment="1">
      <alignment horizontal="center"/>
    </xf>
    <xf numFmtId="0" fontId="11" fillId="4" borderId="3" xfId="372" applyFill="1" applyBorder="1" applyAlignment="1">
      <alignment horizontal="center"/>
    </xf>
    <xf numFmtId="0" fontId="11" fillId="4" borderId="0" xfId="372" applyFill="1" applyAlignment="1">
      <alignment horizontal="center"/>
    </xf>
    <xf numFmtId="0" fontId="11" fillId="4" borderId="0" xfId="372" applyFill="1" applyProtection="1">
      <protection locked="0"/>
    </xf>
    <xf numFmtId="1" fontId="26" fillId="4" borderId="38" xfId="372" applyNumberFormat="1" applyFont="1" applyFill="1" applyBorder="1" applyAlignment="1">
      <alignment horizontal="center"/>
    </xf>
    <xf numFmtId="0" fontId="11" fillId="17" borderId="0" xfId="372" applyFill="1" applyAlignment="1">
      <alignment horizontal="center"/>
    </xf>
    <xf numFmtId="1" fontId="26" fillId="17" borderId="38" xfId="372" applyNumberFormat="1" applyFont="1" applyFill="1" applyBorder="1" applyAlignment="1">
      <alignment horizontal="center"/>
    </xf>
    <xf numFmtId="0" fontId="26" fillId="19" borderId="6" xfId="372" applyFont="1" applyFill="1" applyBorder="1" applyAlignment="1">
      <alignment horizontal="center"/>
    </xf>
    <xf numFmtId="0" fontId="11" fillId="19" borderId="4" xfId="372" applyFill="1" applyBorder="1" applyAlignment="1">
      <alignment horizontal="center"/>
    </xf>
    <xf numFmtId="0" fontId="11" fillId="19" borderId="5" xfId="372" applyFill="1" applyBorder="1" applyAlignment="1">
      <alignment horizontal="center"/>
    </xf>
    <xf numFmtId="0" fontId="11" fillId="19" borderId="5" xfId="372" applyFill="1" applyBorder="1" applyProtection="1">
      <protection locked="0"/>
    </xf>
    <xf numFmtId="1" fontId="43" fillId="20" borderId="5" xfId="372" applyNumberFormat="1" applyFont="1" applyFill="1" applyBorder="1" applyAlignment="1">
      <alignment horizontal="center"/>
    </xf>
    <xf numFmtId="0" fontId="30" fillId="21" borderId="34" xfId="372" applyFont="1" applyFill="1" applyBorder="1" applyAlignment="1">
      <alignment horizontal="centerContinuous"/>
    </xf>
    <xf numFmtId="0" fontId="29" fillId="21" borderId="27" xfId="372" applyFont="1" applyFill="1" applyBorder="1" applyAlignment="1">
      <alignment horizontal="centerContinuous"/>
    </xf>
    <xf numFmtId="165" fontId="30" fillId="21" borderId="27" xfId="372" applyNumberFormat="1" applyFont="1" applyFill="1" applyBorder="1" applyAlignment="1">
      <alignment horizontal="centerContinuous"/>
    </xf>
    <xf numFmtId="165" fontId="29" fillId="21" borderId="19" xfId="372" applyNumberFormat="1" applyFont="1" applyFill="1" applyBorder="1" applyAlignment="1">
      <alignment horizontal="centerContinuous" vertical="top"/>
    </xf>
    <xf numFmtId="1" fontId="30" fillId="21" borderId="34" xfId="372" applyNumberFormat="1" applyFont="1" applyFill="1" applyBorder="1" applyAlignment="1">
      <alignment horizontal="centerContinuous"/>
    </xf>
    <xf numFmtId="0" fontId="0" fillId="21" borderId="1" xfId="0" applyFill="1" applyBorder="1"/>
    <xf numFmtId="0" fontId="30" fillId="22" borderId="34" xfId="372" applyFont="1" applyFill="1" applyBorder="1" applyAlignment="1">
      <alignment horizontal="centerContinuous"/>
    </xf>
    <xf numFmtId="0" fontId="29" fillId="22" borderId="27" xfId="372" applyFont="1" applyFill="1" applyBorder="1" applyAlignment="1">
      <alignment horizontal="centerContinuous"/>
    </xf>
    <xf numFmtId="165" fontId="30" fillId="22" borderId="27" xfId="372" applyNumberFormat="1" applyFont="1" applyFill="1" applyBorder="1" applyAlignment="1">
      <alignment horizontal="centerContinuous"/>
    </xf>
    <xf numFmtId="165" fontId="29" fillId="22" borderId="19" xfId="372" applyNumberFormat="1" applyFont="1" applyFill="1" applyBorder="1" applyAlignment="1">
      <alignment horizontal="centerContinuous" vertical="top"/>
    </xf>
    <xf numFmtId="1" fontId="30" fillId="22" borderId="34" xfId="372" applyNumberFormat="1" applyFont="1" applyFill="1" applyBorder="1" applyAlignment="1">
      <alignment horizontal="centerContinuous"/>
    </xf>
    <xf numFmtId="0" fontId="11" fillId="3" borderId="10" xfId="372" applyFill="1" applyBorder="1" applyProtection="1">
      <protection locked="0"/>
    </xf>
    <xf numFmtId="0" fontId="0" fillId="22" borderId="1" xfId="0" applyFill="1" applyBorder="1"/>
    <xf numFmtId="0" fontId="0" fillId="22" borderId="1" xfId="343" applyNumberFormat="1" applyFont="1" applyFill="1" applyBorder="1"/>
    <xf numFmtId="0" fontId="12" fillId="16" borderId="24" xfId="372" applyFont="1" applyFill="1" applyBorder="1" applyAlignment="1">
      <alignment horizontal="centerContinuous"/>
    </xf>
    <xf numFmtId="0" fontId="31" fillId="16" borderId="24" xfId="372" applyFont="1" applyFill="1" applyBorder="1" applyAlignment="1">
      <alignment horizontal="centerContinuous" vertical="top"/>
    </xf>
    <xf numFmtId="0" fontId="31" fillId="16" borderId="24" xfId="372" applyFont="1" applyFill="1" applyBorder="1" applyAlignment="1">
      <alignment horizontal="centerContinuous"/>
    </xf>
    <xf numFmtId="0" fontId="31" fillId="16" borderId="25" xfId="372" applyFont="1" applyFill="1" applyBorder="1" applyAlignment="1">
      <alignment horizontal="centerContinuous" vertical="top"/>
    </xf>
    <xf numFmtId="0" fontId="12" fillId="16" borderId="23" xfId="372" applyFont="1" applyFill="1" applyBorder="1" applyAlignment="1">
      <alignment horizontal="centerContinuous"/>
    </xf>
    <xf numFmtId="0" fontId="11" fillId="19" borderId="2" xfId="372" applyFill="1" applyBorder="1" applyAlignment="1">
      <alignment horizontal="centerContinuous"/>
    </xf>
    <xf numFmtId="0" fontId="28" fillId="19" borderId="10" xfId="372" applyFont="1" applyFill="1" applyBorder="1" applyAlignment="1">
      <alignment horizontal="centerContinuous"/>
    </xf>
    <xf numFmtId="0" fontId="28" fillId="19" borderId="7" xfId="372" applyFont="1" applyFill="1" applyBorder="1" applyAlignment="1">
      <alignment horizontal="centerContinuous"/>
    </xf>
    <xf numFmtId="0" fontId="28" fillId="19" borderId="2" xfId="372" applyFont="1" applyFill="1" applyBorder="1" applyAlignment="1">
      <alignment horizontal="centerContinuous"/>
    </xf>
    <xf numFmtId="0" fontId="11" fillId="19" borderId="10" xfId="372" applyFill="1" applyBorder="1" applyAlignment="1">
      <alignment horizontal="centerContinuous"/>
    </xf>
    <xf numFmtId="0" fontId="11" fillId="19" borderId="2" xfId="372" applyFill="1" applyBorder="1"/>
    <xf numFmtId="0" fontId="11" fillId="19" borderId="10" xfId="372" applyFill="1" applyBorder="1"/>
    <xf numFmtId="0" fontId="11" fillId="19" borderId="7" xfId="372" applyFill="1" applyBorder="1"/>
    <xf numFmtId="0" fontId="11" fillId="19" borderId="34" xfId="372" applyFill="1" applyBorder="1" applyAlignment="1">
      <alignment horizontal="centerContinuous"/>
    </xf>
    <xf numFmtId="165" fontId="28" fillId="19" borderId="27" xfId="372" applyNumberFormat="1" applyFont="1" applyFill="1" applyBorder="1" applyAlignment="1">
      <alignment horizontal="centerContinuous"/>
    </xf>
    <xf numFmtId="165" fontId="28" fillId="19" borderId="19" xfId="372" applyNumberFormat="1" applyFont="1" applyFill="1" applyBorder="1" applyAlignment="1">
      <alignment horizontal="centerContinuous"/>
    </xf>
    <xf numFmtId="0" fontId="28" fillId="19" borderId="34" xfId="372" applyFont="1" applyFill="1" applyBorder="1" applyAlignment="1">
      <alignment horizontal="centerContinuous"/>
    </xf>
    <xf numFmtId="0" fontId="11" fillId="19" borderId="27" xfId="372" applyFill="1" applyBorder="1" applyAlignment="1">
      <alignment horizontal="centerContinuous"/>
    </xf>
    <xf numFmtId="0" fontId="18" fillId="19" borderId="34" xfId="372" applyFont="1" applyFill="1" applyBorder="1"/>
    <xf numFmtId="0" fontId="11" fillId="19" borderId="27" xfId="372" applyFill="1" applyBorder="1"/>
    <xf numFmtId="0" fontId="11" fillId="19" borderId="19" xfId="372" applyFill="1" applyBorder="1"/>
    <xf numFmtId="0" fontId="11" fillId="16" borderId="5" xfId="372" applyFill="1" applyBorder="1" applyAlignment="1">
      <alignment horizontal="center"/>
    </xf>
    <xf numFmtId="0" fontId="11" fillId="16" borderId="5" xfId="372" applyFill="1" applyBorder="1" applyProtection="1">
      <protection locked="0"/>
    </xf>
    <xf numFmtId="0" fontId="26" fillId="16" borderId="6" xfId="372" applyFont="1" applyFill="1" applyBorder="1" applyAlignment="1">
      <alignment horizontal="center"/>
    </xf>
    <xf numFmtId="0" fontId="11" fillId="19" borderId="5" xfId="372" applyFill="1" applyBorder="1" applyAlignment="1" applyProtection="1">
      <alignment wrapText="1"/>
      <protection locked="0"/>
    </xf>
    <xf numFmtId="0" fontId="11" fillId="23" borderId="5" xfId="372" applyFill="1" applyBorder="1" applyProtection="1">
      <protection locked="0"/>
    </xf>
    <xf numFmtId="0" fontId="11" fillId="24" borderId="0" xfId="372" applyFill="1" applyProtection="1">
      <protection locked="0"/>
    </xf>
    <xf numFmtId="0" fontId="11" fillId="24" borderId="5" xfId="372" applyFill="1" applyBorder="1" applyProtection="1">
      <protection locked="0"/>
    </xf>
    <xf numFmtId="0" fontId="11" fillId="25" borderId="5" xfId="372" applyFill="1" applyBorder="1" applyProtection="1">
      <protection locked="0"/>
    </xf>
    <xf numFmtId="0" fontId="11" fillId="25" borderId="5" xfId="372" applyFill="1" applyBorder="1" applyAlignment="1" applyProtection="1">
      <alignment wrapText="1"/>
      <protection locked="0"/>
    </xf>
    <xf numFmtId="0" fontId="11" fillId="17" borderId="10" xfId="372" applyFill="1" applyBorder="1" applyAlignment="1" applyProtection="1">
      <alignment wrapText="1"/>
      <protection locked="0"/>
    </xf>
    <xf numFmtId="0" fontId="11" fillId="26" borderId="5" xfId="372" applyFill="1" applyBorder="1" applyProtection="1">
      <protection locked="0"/>
    </xf>
    <xf numFmtId="0" fontId="11" fillId="2" borderId="5" xfId="372" applyFill="1" applyBorder="1" applyAlignment="1" applyProtection="1">
      <alignment wrapText="1"/>
      <protection locked="0"/>
    </xf>
    <xf numFmtId="0" fontId="11" fillId="23" borderId="5" xfId="372" applyFill="1" applyBorder="1" applyAlignment="1" applyProtection="1">
      <alignment wrapText="1"/>
      <protection locked="0"/>
    </xf>
    <xf numFmtId="0" fontId="0" fillId="27" borderId="0" xfId="0" applyFill="1"/>
    <xf numFmtId="0" fontId="26" fillId="23" borderId="5" xfId="372" applyFont="1" applyFill="1" applyBorder="1" applyProtection="1">
      <protection locked="0"/>
    </xf>
    <xf numFmtId="0" fontId="26" fillId="17" borderId="10" xfId="372" applyFont="1" applyFill="1" applyBorder="1" applyAlignment="1" applyProtection="1">
      <alignment wrapText="1"/>
      <protection locked="0"/>
    </xf>
    <xf numFmtId="1" fontId="43" fillId="3" borderId="5" xfId="372" applyNumberFormat="1" applyFont="1" applyFill="1" applyBorder="1" applyAlignment="1">
      <alignment horizontal="center"/>
    </xf>
    <xf numFmtId="1" fontId="26" fillId="17" borderId="5" xfId="372" applyNumberFormat="1" applyFont="1" applyFill="1" applyBorder="1" applyAlignment="1">
      <alignment horizontal="center"/>
    </xf>
    <xf numFmtId="0" fontId="44" fillId="16" borderId="24" xfId="372" applyFont="1" applyFill="1" applyBorder="1" applyAlignment="1">
      <alignment horizontal="centerContinuous"/>
    </xf>
    <xf numFmtId="0" fontId="11" fillId="0" borderId="10" xfId="372" applyBorder="1" applyAlignment="1" applyProtection="1">
      <alignment horizontal="left"/>
      <protection locked="0"/>
    </xf>
    <xf numFmtId="0" fontId="11" fillId="0" borderId="7" xfId="372" applyBorder="1" applyAlignment="1" applyProtection="1">
      <alignment horizontal="left"/>
      <protection locked="0"/>
    </xf>
    <xf numFmtId="0" fontId="11" fillId="0" borderId="4" xfId="372" applyBorder="1" applyAlignment="1">
      <alignment horizontal="left"/>
    </xf>
    <xf numFmtId="0" fontId="11" fillId="0" borderId="5" xfId="372" applyBorder="1" applyAlignment="1">
      <alignment horizontal="left"/>
    </xf>
    <xf numFmtId="0" fontId="11" fillId="7" borderId="50" xfId="372" applyFill="1" applyBorder="1" applyAlignment="1" applyProtection="1">
      <alignment horizontal="left"/>
      <protection locked="0"/>
    </xf>
    <xf numFmtId="0" fontId="11" fillId="7" borderId="51" xfId="372" applyFill="1" applyBorder="1" applyAlignment="1" applyProtection="1">
      <alignment horizontal="left"/>
      <protection locked="0"/>
    </xf>
    <xf numFmtId="0" fontId="11" fillId="7" borderId="49" xfId="372" applyFill="1" applyBorder="1" applyAlignment="1" applyProtection="1">
      <alignment horizontal="left"/>
      <protection locked="0"/>
    </xf>
    <xf numFmtId="0" fontId="11" fillId="7" borderId="4" xfId="372" applyFill="1" applyBorder="1" applyAlignment="1" applyProtection="1">
      <alignment horizontal="left"/>
      <protection locked="0"/>
    </xf>
    <xf numFmtId="0" fontId="11" fillId="7" borderId="5" xfId="372" applyFill="1" applyBorder="1" applyAlignment="1" applyProtection="1">
      <alignment horizontal="left"/>
      <protection locked="0"/>
    </xf>
    <xf numFmtId="0" fontId="11" fillId="7" borderId="6" xfId="372" applyFill="1" applyBorder="1" applyAlignment="1" applyProtection="1">
      <alignment horizontal="left"/>
      <protection locked="0"/>
    </xf>
    <xf numFmtId="0" fontId="37" fillId="2" borderId="38" xfId="372" applyFont="1" applyFill="1" applyBorder="1" applyAlignment="1">
      <alignment horizontal="left" vertical="top" wrapText="1"/>
    </xf>
    <xf numFmtId="0" fontId="18" fillId="2" borderId="38" xfId="372" applyFont="1" applyFill="1" applyBorder="1" applyAlignment="1">
      <alignment horizontal="left" wrapText="1"/>
    </xf>
    <xf numFmtId="0" fontId="23" fillId="2" borderId="38" xfId="372" applyFont="1" applyFill="1" applyBorder="1" applyAlignment="1">
      <alignment horizontal="left" vertical="center" wrapText="1"/>
    </xf>
    <xf numFmtId="0" fontId="18" fillId="2" borderId="38" xfId="372" applyFont="1" applyFill="1" applyBorder="1" applyAlignment="1">
      <alignment horizontal="left" vertical="top" wrapText="1"/>
    </xf>
    <xf numFmtId="0" fontId="18" fillId="19" borderId="2" xfId="372" applyFont="1" applyFill="1" applyBorder="1" applyAlignment="1">
      <alignment horizontal="left"/>
    </xf>
    <xf numFmtId="0" fontId="18" fillId="19" borderId="10" xfId="372" applyFont="1" applyFill="1" applyBorder="1" applyAlignment="1">
      <alignment horizontal="left"/>
    </xf>
    <xf numFmtId="0" fontId="18" fillId="19" borderId="7" xfId="372" applyFont="1" applyFill="1" applyBorder="1" applyAlignment="1">
      <alignment horizontal="left"/>
    </xf>
    <xf numFmtId="0" fontId="18" fillId="19" borderId="34" xfId="372" applyFont="1" applyFill="1" applyBorder="1" applyAlignment="1">
      <alignment horizontal="left"/>
    </xf>
    <xf numFmtId="0" fontId="18" fillId="19" borderId="27" xfId="372" applyFont="1" applyFill="1" applyBorder="1" applyAlignment="1">
      <alignment horizontal="left"/>
    </xf>
    <xf numFmtId="0" fontId="18" fillId="19" borderId="19" xfId="372" applyFont="1" applyFill="1" applyBorder="1" applyAlignment="1">
      <alignment horizontal="left"/>
    </xf>
    <xf numFmtId="0" fontId="11" fillId="0" borderId="45" xfId="372" applyBorder="1" applyAlignment="1" applyProtection="1">
      <alignment horizontal="left"/>
      <protection locked="0"/>
    </xf>
    <xf numFmtId="0" fontId="11" fillId="0" borderId="47" xfId="372" applyBorder="1" applyAlignment="1" applyProtection="1">
      <alignment horizontal="left"/>
      <protection locked="0"/>
    </xf>
    <xf numFmtId="0" fontId="11" fillId="0" borderId="46" xfId="372" applyBorder="1" applyAlignment="1" applyProtection="1">
      <alignment horizontal="left"/>
      <protection locked="0"/>
    </xf>
    <xf numFmtId="0" fontId="18" fillId="7" borderId="50" xfId="372" applyFont="1" applyFill="1" applyBorder="1" applyAlignment="1" applyProtection="1">
      <alignment horizontal="left"/>
      <protection locked="0"/>
    </xf>
    <xf numFmtId="0" fontId="18" fillId="7" borderId="51" xfId="372" applyFont="1" applyFill="1" applyBorder="1" applyAlignment="1" applyProtection="1">
      <alignment horizontal="left"/>
      <protection locked="0"/>
    </xf>
    <xf numFmtId="0" fontId="18" fillId="7" borderId="49" xfId="372" applyFont="1" applyFill="1" applyBorder="1" applyAlignment="1" applyProtection="1">
      <alignment horizontal="left"/>
      <protection locked="0"/>
    </xf>
    <xf numFmtId="0" fontId="18" fillId="7" borderId="4" xfId="372" applyFont="1" applyFill="1" applyBorder="1" applyAlignment="1" applyProtection="1">
      <alignment horizontal="left"/>
      <protection locked="0"/>
    </xf>
    <xf numFmtId="0" fontId="18" fillId="7" borderId="5" xfId="372" applyFont="1" applyFill="1" applyBorder="1" applyAlignment="1" applyProtection="1">
      <alignment horizontal="left"/>
      <protection locked="0"/>
    </xf>
    <xf numFmtId="0" fontId="18" fillId="7" borderId="6" xfId="372" applyFont="1" applyFill="1" applyBorder="1" applyAlignment="1" applyProtection="1">
      <alignment horizontal="left"/>
      <protection locked="0"/>
    </xf>
    <xf numFmtId="0" fontId="11" fillId="7" borderId="2" xfId="372" applyFill="1" applyBorder="1" applyAlignment="1" applyProtection="1">
      <alignment horizontal="left"/>
      <protection locked="0"/>
    </xf>
    <xf numFmtId="0" fontId="11" fillId="7" borderId="10" xfId="372" applyFill="1" applyBorder="1" applyAlignment="1" applyProtection="1">
      <alignment horizontal="left"/>
      <protection locked="0"/>
    </xf>
    <xf numFmtId="0" fontId="11" fillId="7" borderId="7" xfId="372" applyFill="1" applyBorder="1" applyAlignment="1" applyProtection="1">
      <alignment horizontal="left"/>
      <protection locked="0"/>
    </xf>
    <xf numFmtId="17" fontId="11" fillId="7" borderId="4" xfId="372" applyNumberFormat="1" applyFill="1" applyBorder="1" applyAlignment="1" applyProtection="1">
      <alignment horizontal="left"/>
      <protection locked="0"/>
    </xf>
    <xf numFmtId="0" fontId="26" fillId="4" borderId="5" xfId="372" applyFont="1" applyFill="1" applyBorder="1" applyAlignment="1" applyProtection="1">
      <alignment horizontal="center"/>
      <protection locked="0"/>
    </xf>
    <xf numFmtId="0" fontId="26" fillId="4" borderId="6" xfId="372" applyFont="1" applyFill="1" applyBorder="1" applyAlignment="1" applyProtection="1">
      <alignment horizontal="center"/>
      <protection locked="0"/>
    </xf>
    <xf numFmtId="0" fontId="0" fillId="0" borderId="0" xfId="0" applyAlignment="1">
      <alignment wrapText="1"/>
    </xf>
    <xf numFmtId="0" fontId="0" fillId="5" borderId="4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9" fillId="0" borderId="10" xfId="0" applyFont="1" applyBorder="1" applyAlignment="1">
      <alignment horizontal="left" wrapText="1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31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10" fillId="4" borderId="4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/>
    </xf>
    <xf numFmtId="0" fontId="0" fillId="4" borderId="4" xfId="0" applyFill="1" applyBorder="1" applyAlignment="1">
      <alignment horizontal="left" wrapText="1"/>
    </xf>
    <xf numFmtId="0" fontId="0" fillId="4" borderId="5" xfId="0" applyFill="1" applyBorder="1" applyAlignment="1">
      <alignment horizontal="left" wrapText="1"/>
    </xf>
    <xf numFmtId="0" fontId="0" fillId="4" borderId="6" xfId="0" applyFill="1" applyBorder="1" applyAlignment="1">
      <alignment horizontal="left" wrapText="1"/>
    </xf>
    <xf numFmtId="0" fontId="9" fillId="5" borderId="4" xfId="0" applyFont="1" applyFill="1" applyBorder="1" applyAlignment="1">
      <alignment horizontal="left" vertical="center" wrapText="1"/>
    </xf>
    <xf numFmtId="0" fontId="9" fillId="5" borderId="6" xfId="0" applyFont="1" applyFill="1" applyBorder="1" applyAlignment="1">
      <alignment horizontal="left" vertical="center" wrapText="1"/>
    </xf>
    <xf numFmtId="0" fontId="0" fillId="5" borderId="4" xfId="0" applyFill="1" applyBorder="1" applyAlignment="1">
      <alignment horizontal="left" vertical="center" wrapText="1"/>
    </xf>
    <xf numFmtId="0" fontId="0" fillId="5" borderId="6" xfId="0" applyFill="1" applyBorder="1" applyAlignment="1">
      <alignment horizontal="left" vertical="center" wrapText="1"/>
    </xf>
    <xf numFmtId="0" fontId="8" fillId="5" borderId="8" xfId="0" applyFont="1" applyFill="1" applyBorder="1" applyAlignment="1">
      <alignment horizontal="center" vertical="center" textRotation="90" wrapText="1"/>
    </xf>
    <xf numFmtId="0" fontId="8" fillId="5" borderId="35" xfId="0" applyFont="1" applyFill="1" applyBorder="1" applyAlignment="1">
      <alignment horizontal="center" vertical="center" textRotation="90" wrapText="1"/>
    </xf>
    <xf numFmtId="0" fontId="8" fillId="5" borderId="12" xfId="0" applyFont="1" applyFill="1" applyBorder="1" applyAlignment="1">
      <alignment horizontal="center" vertical="center" textRotation="90" wrapText="1"/>
    </xf>
    <xf numFmtId="0" fontId="0" fillId="5" borderId="4" xfId="0" applyFill="1" applyBorder="1" applyAlignment="1">
      <alignment horizontal="left" vertical="center"/>
    </xf>
    <xf numFmtId="0" fontId="0" fillId="5" borderId="5" xfId="0" applyFill="1" applyBorder="1" applyAlignment="1">
      <alignment horizontal="left" vertical="center"/>
    </xf>
    <xf numFmtId="0" fontId="0" fillId="5" borderId="6" xfId="0" applyFill="1" applyBorder="1" applyAlignment="1">
      <alignment horizontal="left" vertical="center"/>
    </xf>
    <xf numFmtId="0" fontId="0" fillId="6" borderId="4" xfId="0" applyFill="1" applyBorder="1" applyAlignment="1">
      <alignment horizontal="left" vertical="center"/>
    </xf>
    <xf numFmtId="0" fontId="0" fillId="6" borderId="5" xfId="0" applyFill="1" applyBorder="1" applyAlignment="1">
      <alignment horizontal="left" vertical="center"/>
    </xf>
    <xf numFmtId="0" fontId="0" fillId="6" borderId="6" xfId="0" applyFill="1" applyBorder="1" applyAlignment="1">
      <alignment horizontal="left" vertical="center"/>
    </xf>
    <xf numFmtId="0" fontId="0" fillId="2" borderId="29" xfId="0" applyFill="1" applyBorder="1" applyAlignment="1" applyProtection="1">
      <alignment horizontal="left"/>
      <protection locked="0"/>
    </xf>
    <xf numFmtId="0" fontId="0" fillId="2" borderId="32" xfId="0" applyFill="1" applyBorder="1" applyAlignment="1" applyProtection="1">
      <alignment horizontal="left"/>
      <protection locked="0"/>
    </xf>
    <xf numFmtId="0" fontId="5" fillId="4" borderId="23" xfId="0" applyFont="1" applyFill="1" applyBorder="1" applyAlignment="1">
      <alignment horizontal="left" wrapText="1"/>
    </xf>
    <xf numFmtId="0" fontId="5" fillId="4" borderId="28" xfId="0" applyFont="1" applyFill="1" applyBorder="1" applyAlignment="1">
      <alignment horizontal="left" wrapText="1"/>
    </xf>
    <xf numFmtId="0" fontId="12" fillId="16" borderId="11" xfId="372" applyFont="1" applyFill="1" applyBorder="1" applyAlignment="1">
      <alignment horizontal="center"/>
    </xf>
    <xf numFmtId="0" fontId="12" fillId="16" borderId="36" xfId="372" applyFont="1" applyFill="1" applyBorder="1" applyAlignment="1">
      <alignment horizontal="center"/>
    </xf>
    <xf numFmtId="0" fontId="12" fillId="16" borderId="37" xfId="372" applyFont="1" applyFill="1" applyBorder="1" applyAlignment="1">
      <alignment horizontal="center"/>
    </xf>
  </cellXfs>
  <cellStyles count="536">
    <cellStyle name="12" xfId="373" xr:uid="{00000000-0005-0000-0000-000000000000}"/>
    <cellStyle name="14" xfId="374" xr:uid="{00000000-0005-0000-0000-000001000000}"/>
    <cellStyle name="9" xfId="375" xr:uid="{00000000-0005-0000-0000-000002000000}"/>
    <cellStyle name="9 2" xfId="535" xr:uid="{D414E0D3-E403-2049-ABCF-02C17D11F590}"/>
    <cellStyle name="Besøgt link" xfId="2" builtinId="9" hidden="1"/>
    <cellStyle name="Besøgt link" xfId="4" builtinId="9" hidden="1"/>
    <cellStyle name="Besøgt link" xfId="6" builtinId="9" hidden="1"/>
    <cellStyle name="Besøgt link" xfId="8" builtinId="9" hidden="1"/>
    <cellStyle name="Besøgt link" xfId="10" builtinId="9" hidden="1"/>
    <cellStyle name="Besøgt link" xfId="12" builtinId="9" hidden="1"/>
    <cellStyle name="Besøgt link" xfId="14" builtinId="9" hidden="1"/>
    <cellStyle name="Besøgt link" xfId="16" builtinId="9" hidden="1"/>
    <cellStyle name="Besøgt link" xfId="18" builtinId="9" hidden="1"/>
    <cellStyle name="Besøgt link" xfId="20" builtinId="9" hidden="1"/>
    <cellStyle name="Besøgt link" xfId="22" builtinId="9" hidden="1"/>
    <cellStyle name="Besøgt link" xfId="24" builtinId="9" hidden="1"/>
    <cellStyle name="Besøgt link" xfId="26" builtinId="9" hidden="1"/>
    <cellStyle name="Besøgt link" xfId="28" builtinId="9" hidden="1"/>
    <cellStyle name="Besøgt link" xfId="30" builtinId="9" hidden="1"/>
    <cellStyle name="Besøgt link" xfId="32" builtinId="9" hidden="1"/>
    <cellStyle name="Besøgt link" xfId="34" builtinId="9" hidden="1"/>
    <cellStyle name="Besøgt link" xfId="36" builtinId="9" hidden="1"/>
    <cellStyle name="Besøgt link" xfId="38" builtinId="9" hidden="1"/>
    <cellStyle name="Besøgt link" xfId="40" builtinId="9" hidden="1"/>
    <cellStyle name="Besøgt link" xfId="42" builtinId="9" hidden="1"/>
    <cellStyle name="Besøgt link" xfId="44" builtinId="9" hidden="1"/>
    <cellStyle name="Besøgt link" xfId="46" builtinId="9" hidden="1"/>
    <cellStyle name="Besøgt link" xfId="48" builtinId="9" hidden="1"/>
    <cellStyle name="Besøgt link" xfId="50" builtinId="9" hidden="1"/>
    <cellStyle name="Besøgt link" xfId="52" builtinId="9" hidden="1"/>
    <cellStyle name="Besøgt link" xfId="54" builtinId="9" hidden="1"/>
    <cellStyle name="Besøgt link" xfId="56" builtinId="9" hidden="1"/>
    <cellStyle name="Besøgt link" xfId="58" builtinId="9" hidden="1"/>
    <cellStyle name="Besøgt link" xfId="60" builtinId="9" hidden="1"/>
    <cellStyle name="Besøgt link" xfId="62" builtinId="9" hidden="1"/>
    <cellStyle name="Besøgt link" xfId="64" builtinId="9" hidden="1"/>
    <cellStyle name="Besøgt link" xfId="66" builtinId="9" hidden="1"/>
    <cellStyle name="Besøgt link" xfId="68" builtinId="9" hidden="1"/>
    <cellStyle name="Besøgt link" xfId="70" builtinId="9" hidden="1"/>
    <cellStyle name="Besøgt link" xfId="72" builtinId="9" hidden="1"/>
    <cellStyle name="Besøgt link" xfId="74" builtinId="9" hidden="1"/>
    <cellStyle name="Besøgt link" xfId="76" builtinId="9" hidden="1"/>
    <cellStyle name="Besøgt link" xfId="78" builtinId="9" hidden="1"/>
    <cellStyle name="Besøgt link" xfId="80" builtinId="9" hidden="1"/>
    <cellStyle name="Besøgt link" xfId="82" builtinId="9" hidden="1"/>
    <cellStyle name="Besøgt link" xfId="84" builtinId="9" hidden="1"/>
    <cellStyle name="Besøgt link" xfId="86" builtinId="9" hidden="1"/>
    <cellStyle name="Besøgt link" xfId="88" builtinId="9" hidden="1"/>
    <cellStyle name="Besøgt link" xfId="90" builtinId="9" hidden="1"/>
    <cellStyle name="Besøgt link" xfId="92" builtinId="9" hidden="1"/>
    <cellStyle name="Besøgt link" xfId="94" builtinId="9" hidden="1"/>
    <cellStyle name="Besøgt link" xfId="96" builtinId="9" hidden="1"/>
    <cellStyle name="Besøgt link" xfId="98" builtinId="9" hidden="1"/>
    <cellStyle name="Besøgt link" xfId="100" builtinId="9" hidden="1"/>
    <cellStyle name="Besøgt link" xfId="102" builtinId="9" hidden="1"/>
    <cellStyle name="Besøgt link" xfId="104" builtinId="9" hidden="1"/>
    <cellStyle name="Besøgt link" xfId="106" builtinId="9" hidden="1"/>
    <cellStyle name="Besøgt link" xfId="108" builtinId="9" hidden="1"/>
    <cellStyle name="Besøgt link" xfId="110" builtinId="9" hidden="1"/>
    <cellStyle name="Besøgt link" xfId="112" builtinId="9" hidden="1"/>
    <cellStyle name="Besøgt link" xfId="114" builtinId="9" hidden="1"/>
    <cellStyle name="Besøgt link" xfId="116" builtinId="9" hidden="1"/>
    <cellStyle name="Besøgt link" xfId="118" builtinId="9" hidden="1"/>
    <cellStyle name="Besøgt link" xfId="120" builtinId="9" hidden="1"/>
    <cellStyle name="Besøgt link" xfId="122" builtinId="9" hidden="1"/>
    <cellStyle name="Besøgt link" xfId="124" builtinId="9" hidden="1"/>
    <cellStyle name="Besøgt link" xfId="126" builtinId="9" hidden="1"/>
    <cellStyle name="Besøgt link" xfId="128" builtinId="9" hidden="1"/>
    <cellStyle name="Besøgt link" xfId="130" builtinId="9" hidden="1"/>
    <cellStyle name="Besøgt link" xfId="132" builtinId="9" hidden="1"/>
    <cellStyle name="Besøgt link" xfId="134" builtinId="9" hidden="1"/>
    <cellStyle name="Besøgt link" xfId="136" builtinId="9" hidden="1"/>
    <cellStyle name="Besøgt link" xfId="138" builtinId="9" hidden="1"/>
    <cellStyle name="Besøgt link" xfId="140" builtinId="9" hidden="1"/>
    <cellStyle name="Besøgt link" xfId="142" builtinId="9" hidden="1"/>
    <cellStyle name="Besøgt link" xfId="144" builtinId="9" hidden="1"/>
    <cellStyle name="Besøgt link" xfId="146" builtinId="9" hidden="1"/>
    <cellStyle name="Besøgt link" xfId="148" builtinId="9" hidden="1"/>
    <cellStyle name="Besøgt link" xfId="150" builtinId="9" hidden="1"/>
    <cellStyle name="Besøgt link" xfId="152" builtinId="9" hidden="1"/>
    <cellStyle name="Besøgt link" xfId="154" builtinId="9" hidden="1"/>
    <cellStyle name="Besøgt link" xfId="156" builtinId="9" hidden="1"/>
    <cellStyle name="Besøgt link" xfId="158" builtinId="9" hidden="1"/>
    <cellStyle name="Besøgt link" xfId="160" builtinId="9" hidden="1"/>
    <cellStyle name="Besøgt link" xfId="162" builtinId="9" hidden="1"/>
    <cellStyle name="Besøgt link" xfId="164" builtinId="9" hidden="1"/>
    <cellStyle name="Besøgt link" xfId="166" builtinId="9" hidden="1"/>
    <cellStyle name="Besøgt link" xfId="168" builtinId="9" hidden="1"/>
    <cellStyle name="Besøgt link" xfId="170" builtinId="9" hidden="1"/>
    <cellStyle name="Besøgt link" xfId="172" builtinId="9" hidden="1"/>
    <cellStyle name="Besøgt link" xfId="174" builtinId="9" hidden="1"/>
    <cellStyle name="Besøgt link" xfId="176" builtinId="9" hidden="1"/>
    <cellStyle name="Besøgt link" xfId="178" builtinId="9" hidden="1"/>
    <cellStyle name="Besøgt link" xfId="180" builtinId="9" hidden="1"/>
    <cellStyle name="Besøgt link" xfId="182" builtinId="9" hidden="1"/>
    <cellStyle name="Besøgt link" xfId="184" builtinId="9" hidden="1"/>
    <cellStyle name="Besøgt link" xfId="186" builtinId="9" hidden="1"/>
    <cellStyle name="Besøgt link" xfId="188" builtinId="9" hidden="1"/>
    <cellStyle name="Besøgt link" xfId="190" builtinId="9" hidden="1"/>
    <cellStyle name="Besøgt link" xfId="192" builtinId="9" hidden="1"/>
    <cellStyle name="Besøgt link" xfId="194" builtinId="9" hidden="1"/>
    <cellStyle name="Besøgt link" xfId="196" builtinId="9" hidden="1"/>
    <cellStyle name="Besøgt link" xfId="198" builtinId="9" hidden="1"/>
    <cellStyle name="Besøgt link" xfId="200" builtinId="9" hidden="1"/>
    <cellStyle name="Besøgt link" xfId="202" builtinId="9" hidden="1"/>
    <cellStyle name="Besøgt link" xfId="204" builtinId="9" hidden="1"/>
    <cellStyle name="Besøgt link" xfId="206" builtinId="9" hidden="1"/>
    <cellStyle name="Besøgt link" xfId="208" builtinId="9" hidden="1"/>
    <cellStyle name="Besøgt link" xfId="210" builtinId="9" hidden="1"/>
    <cellStyle name="Besøgt link" xfId="212" builtinId="9" hidden="1"/>
    <cellStyle name="Besøgt link" xfId="214" builtinId="9" hidden="1"/>
    <cellStyle name="Besøgt link" xfId="216" builtinId="9" hidden="1"/>
    <cellStyle name="Besøgt link" xfId="218" builtinId="9" hidden="1"/>
    <cellStyle name="Besøgt link" xfId="220" builtinId="9" hidden="1"/>
    <cellStyle name="Besøgt link" xfId="222" builtinId="9" hidden="1"/>
    <cellStyle name="Besøgt link" xfId="224" builtinId="9" hidden="1"/>
    <cellStyle name="Besøgt link" xfId="226" builtinId="9" hidden="1"/>
    <cellStyle name="Besøgt link" xfId="228" builtinId="9" hidden="1"/>
    <cellStyle name="Besøgt link" xfId="230" builtinId="9" hidden="1"/>
    <cellStyle name="Besøgt link" xfId="232" builtinId="9" hidden="1"/>
    <cellStyle name="Besøgt link" xfId="234" builtinId="9" hidden="1"/>
    <cellStyle name="Besøgt link" xfId="236" builtinId="9" hidden="1"/>
    <cellStyle name="Besøgt link" xfId="238" builtinId="9" hidden="1"/>
    <cellStyle name="Besøgt link" xfId="240" builtinId="9" hidden="1"/>
    <cellStyle name="Besøgt link" xfId="242" builtinId="9" hidden="1"/>
    <cellStyle name="Besøgt link" xfId="244" builtinId="9" hidden="1"/>
    <cellStyle name="Besøgt link" xfId="246" builtinId="9" hidden="1"/>
    <cellStyle name="Besøgt link" xfId="248" builtinId="9" hidden="1"/>
    <cellStyle name="Besøgt link" xfId="250" builtinId="9" hidden="1"/>
    <cellStyle name="Besøgt link" xfId="252" builtinId="9" hidden="1"/>
    <cellStyle name="Besøgt link" xfId="254" builtinId="9" hidden="1"/>
    <cellStyle name="Besøgt link" xfId="256" builtinId="9" hidden="1"/>
    <cellStyle name="Besøgt link" xfId="258" builtinId="9" hidden="1"/>
    <cellStyle name="Besøgt link" xfId="260" builtinId="9" hidden="1"/>
    <cellStyle name="Besøgt link" xfId="262" builtinId="9" hidden="1"/>
    <cellStyle name="Besøgt link" xfId="264" builtinId="9" hidden="1"/>
    <cellStyle name="Besøgt link" xfId="266" builtinId="9" hidden="1"/>
    <cellStyle name="Besøgt link" xfId="268" builtinId="9" hidden="1"/>
    <cellStyle name="Besøgt link" xfId="270" builtinId="9" hidden="1"/>
    <cellStyle name="Besøgt link" xfId="272" builtinId="9" hidden="1"/>
    <cellStyle name="Besøgt link" xfId="274" builtinId="9" hidden="1"/>
    <cellStyle name="Besøgt link" xfId="276" builtinId="9" hidden="1"/>
    <cellStyle name="Besøgt link" xfId="278" builtinId="9" hidden="1"/>
    <cellStyle name="Besøgt link" xfId="280" builtinId="9" hidden="1"/>
    <cellStyle name="Besøgt link" xfId="282" builtinId="9" hidden="1"/>
    <cellStyle name="Besøgt link" xfId="284" builtinId="9" hidden="1"/>
    <cellStyle name="Besøgt link" xfId="286" builtinId="9" hidden="1"/>
    <cellStyle name="Besøgt link" xfId="288" builtinId="9" hidden="1"/>
    <cellStyle name="Besøgt link" xfId="290" builtinId="9" hidden="1"/>
    <cellStyle name="Besøgt link" xfId="292" builtinId="9" hidden="1"/>
    <cellStyle name="Besøgt link" xfId="294" builtinId="9" hidden="1"/>
    <cellStyle name="Besøgt link" xfId="296" builtinId="9" hidden="1"/>
    <cellStyle name="Besøgt link" xfId="298" builtinId="9" hidden="1"/>
    <cellStyle name="Besøgt link" xfId="300" builtinId="9" hidden="1"/>
    <cellStyle name="Besøgt link" xfId="302" builtinId="9" hidden="1"/>
    <cellStyle name="Besøgt link" xfId="304" builtinId="9" hidden="1"/>
    <cellStyle name="Besøgt link" xfId="306" builtinId="9" hidden="1"/>
    <cellStyle name="Besøgt link" xfId="308" builtinId="9" hidden="1"/>
    <cellStyle name="Besøgt link" xfId="310" builtinId="9" hidden="1"/>
    <cellStyle name="Besøgt link" xfId="312" builtinId="9" hidden="1"/>
    <cellStyle name="Besøgt link" xfId="314" builtinId="9" hidden="1"/>
    <cellStyle name="Besøgt link" xfId="316" builtinId="9" hidden="1"/>
    <cellStyle name="Besøgt link" xfId="318" builtinId="9" hidden="1"/>
    <cellStyle name="Besøgt link" xfId="320" builtinId="9" hidden="1"/>
    <cellStyle name="Besøgt link" xfId="322" builtinId="9" hidden="1"/>
    <cellStyle name="Besøgt link" xfId="324" builtinId="9" hidden="1"/>
    <cellStyle name="Besøgt link" xfId="326" builtinId="9" hidden="1"/>
    <cellStyle name="Besøgt link" xfId="328" builtinId="9" hidden="1"/>
    <cellStyle name="Besøgt link" xfId="330" builtinId="9" hidden="1"/>
    <cellStyle name="Besøgt link" xfId="332" builtinId="9" hidden="1"/>
    <cellStyle name="Besøgt link" xfId="334" builtinId="9" hidden="1"/>
    <cellStyle name="Besøgt link" xfId="336" builtinId="9" hidden="1"/>
    <cellStyle name="Besøgt link" xfId="338" builtinId="9" hidden="1"/>
    <cellStyle name="Besøgt link" xfId="340" builtinId="9" hidden="1"/>
    <cellStyle name="Besøgt link" xfId="342" builtinId="9" hidden="1"/>
    <cellStyle name="Besøgt link" xfId="345" builtinId="9" hidden="1"/>
    <cellStyle name="Besøgt link" xfId="347" builtinId="9" hidden="1"/>
    <cellStyle name="Besøgt link" xfId="349" builtinId="9" hidden="1"/>
    <cellStyle name="Besøgt link" xfId="351" builtinId="9" hidden="1"/>
    <cellStyle name="Besøgt link" xfId="353" builtinId="9" hidden="1"/>
    <cellStyle name="Besøgt link" xfId="355" builtinId="9" hidden="1"/>
    <cellStyle name="Besøgt link" xfId="357" builtinId="9" hidden="1"/>
    <cellStyle name="Besøgt link" xfId="359" builtinId="9" hidden="1"/>
    <cellStyle name="Besøgt link" xfId="361" builtinId="9" hidden="1"/>
    <cellStyle name="Besøgt link" xfId="363" builtinId="9" hidden="1"/>
    <cellStyle name="Besøgt link" xfId="365" builtinId="9" hidden="1"/>
    <cellStyle name="Besøgt link" xfId="367" builtinId="9" hidden="1"/>
    <cellStyle name="Besøgt link" xfId="369" builtinId="9" hidden="1"/>
    <cellStyle name="Besøgt link" xfId="371" builtinId="9" hidden="1"/>
    <cellStyle name="Besøgt link" xfId="394" builtinId="9" hidden="1"/>
    <cellStyle name="Besøgt link" xfId="396" builtinId="9" hidden="1"/>
    <cellStyle name="Besøgt link" xfId="398" builtinId="9" hidden="1"/>
    <cellStyle name="Besøgt link" xfId="400" builtinId="9" hidden="1"/>
    <cellStyle name="Besøgt link" xfId="402" builtinId="9" hidden="1"/>
    <cellStyle name="Besøgt link" xfId="404" builtinId="9" hidden="1"/>
    <cellStyle name="Besøgt link" xfId="406" builtinId="9" hidden="1"/>
    <cellStyle name="Besøgt link" xfId="408" builtinId="9" hidden="1"/>
    <cellStyle name="Besøgt link" xfId="410" builtinId="9" hidden="1"/>
    <cellStyle name="Besøgt link" xfId="412" builtinId="9" hidden="1"/>
    <cellStyle name="Besøgt link" xfId="414" builtinId="9" hidden="1"/>
    <cellStyle name="Besøgt link" xfId="416" builtinId="9" hidden="1"/>
    <cellStyle name="Besøgt link" xfId="418" builtinId="9" hidden="1"/>
    <cellStyle name="Besøgt link" xfId="420" builtinId="9" hidden="1"/>
    <cellStyle name="Besøgt link" xfId="422" builtinId="9" hidden="1"/>
    <cellStyle name="Besøgt link" xfId="424" builtinId="9" hidden="1"/>
    <cellStyle name="Besøgt link" xfId="426" builtinId="9" hidden="1"/>
    <cellStyle name="Besøgt link" xfId="428" builtinId="9" hidden="1"/>
    <cellStyle name="Besøgt link" xfId="430" builtinId="9" hidden="1"/>
    <cellStyle name="Besøgt link" xfId="432" builtinId="9" hidden="1"/>
    <cellStyle name="Besøgt link" xfId="434" builtinId="9" hidden="1"/>
    <cellStyle name="Besøgt link" xfId="436" builtinId="9" hidden="1"/>
    <cellStyle name="Besøgt link" xfId="438" builtinId="9" hidden="1"/>
    <cellStyle name="Besøgt link" xfId="440" builtinId="9" hidden="1"/>
    <cellStyle name="Besøgt link" xfId="442" builtinId="9" hidden="1"/>
    <cellStyle name="Besøgt link" xfId="444" builtinId="9" hidden="1"/>
    <cellStyle name="Besøgt link" xfId="446" builtinId="9" hidden="1"/>
    <cellStyle name="Besøgt link" xfId="448" builtinId="9" hidden="1"/>
    <cellStyle name="Besøgt link" xfId="450" builtinId="9" hidden="1"/>
    <cellStyle name="Besøgt link" xfId="452" builtinId="9" hidden="1"/>
    <cellStyle name="Besøgt link" xfId="454" builtinId="9" hidden="1"/>
    <cellStyle name="Besøgt link" xfId="456" builtinId="9" hidden="1"/>
    <cellStyle name="Besøgt link" xfId="458" builtinId="9" hidden="1"/>
    <cellStyle name="Besøgt link" xfId="460" builtinId="9" hidden="1"/>
    <cellStyle name="Besøgt link" xfId="462" builtinId="9" hidden="1"/>
    <cellStyle name="Besøgt link" xfId="464" builtinId="9" hidden="1"/>
    <cellStyle name="Besøgt link" xfId="466" builtinId="9" hidden="1"/>
    <cellStyle name="Besøgt link" xfId="468" builtinId="9" hidden="1"/>
    <cellStyle name="Besøgt link" xfId="470" builtinId="9" hidden="1"/>
    <cellStyle name="Besøgt link" xfId="472" builtinId="9" hidden="1"/>
    <cellStyle name="Besøgt link" xfId="474" builtinId="9" hidden="1"/>
    <cellStyle name="Besøgt link" xfId="476" builtinId="9" hidden="1"/>
    <cellStyle name="Besøgt link" xfId="478" builtinId="9" hidden="1"/>
    <cellStyle name="Besøgt link" xfId="480" builtinId="9" hidden="1"/>
    <cellStyle name="Besøgt link" xfId="482" builtinId="9" hidden="1"/>
    <cellStyle name="Besøgt link" xfId="484" builtinId="9" hidden="1"/>
    <cellStyle name="Besøgt link" xfId="486" builtinId="9" hidden="1"/>
    <cellStyle name="Besøgt link" xfId="488" builtinId="9" hidden="1"/>
    <cellStyle name="Besøgt link" xfId="490" builtinId="9" hidden="1"/>
    <cellStyle name="Besøgt link" xfId="492" builtinId="9" hidden="1"/>
    <cellStyle name="Besøgt link" xfId="494" builtinId="9" hidden="1"/>
    <cellStyle name="Besøgt link" xfId="496" builtinId="9" hidden="1"/>
    <cellStyle name="Besøgt link" xfId="498" builtinId="9" hidden="1"/>
    <cellStyle name="Besøgt link" xfId="500" builtinId="9" hidden="1"/>
    <cellStyle name="Besøgt link" xfId="502" builtinId="9" hidden="1"/>
    <cellStyle name="Besøgt link" xfId="504" builtinId="9" hidden="1"/>
    <cellStyle name="Besøgt link" xfId="506" builtinId="9" hidden="1"/>
    <cellStyle name="Besøgt link" xfId="508" builtinId="9" hidden="1"/>
    <cellStyle name="Besøgt link" xfId="510" builtinId="9" hidden="1"/>
    <cellStyle name="Besøgt link" xfId="512" builtinId="9" hidden="1"/>
    <cellStyle name="Besøgt link" xfId="514" builtinId="9" hidden="1"/>
    <cellStyle name="Besøgt link" xfId="516" builtinId="9" hidden="1"/>
    <cellStyle name="Besøgt link" xfId="518" builtinId="9" hidden="1"/>
    <cellStyle name="Besøgt link" xfId="520" builtinId="9" hidden="1"/>
    <cellStyle name="Besøgt link" xfId="522" builtinId="9" hidden="1"/>
    <cellStyle name="Besøgt link" xfId="524" builtinId="9" hidden="1"/>
    <cellStyle name="Besøgt link" xfId="526" builtinId="9" hidden="1"/>
    <cellStyle name="Besøgt link" xfId="528" builtinId="9" hidden="1"/>
    <cellStyle name="Besøgt link" xfId="530" builtinId="9" hidden="1"/>
    <cellStyle name="Besøgt link" xfId="532" builtinId="9" hidden="1"/>
    <cellStyle name="Besøgt link" xfId="534" builtinId="9" hidden="1"/>
    <cellStyle name="Chicago" xfId="376" xr:uid="{00000000-0005-0000-0000-000003010000}"/>
    <cellStyle name="Comma [0]_Halvårskalender 1999/00" xfId="377" xr:uid="{00000000-0005-0000-0000-000004010000}"/>
    <cellStyle name="Comma_Halvårskalender 1999/00" xfId="378" xr:uid="{00000000-0005-0000-0000-000005010000}"/>
    <cellStyle name="courier" xfId="379" xr:uid="{00000000-0005-0000-0000-000006010000}"/>
    <cellStyle name="Currency [0]_Halvårskalender 1999/00" xfId="380" xr:uid="{00000000-0005-0000-0000-000007010000}"/>
    <cellStyle name="Currency_Halvårskalender 1999/00" xfId="381" xr:uid="{00000000-0005-0000-0000-000008010000}"/>
    <cellStyle name="Followed Hyperlink" xfId="382" xr:uid="{00000000-0005-0000-0000-000009010000}"/>
    <cellStyle name="Komma" xfId="343" builtinId="3"/>
    <cellStyle name="komma0" xfId="383" xr:uid="{00000000-0005-0000-0000-00000B020000}"/>
    <cellStyle name="komma1" xfId="384" xr:uid="{00000000-0005-0000-0000-00000C020000}"/>
    <cellStyle name="komma2" xfId="385" xr:uid="{00000000-0005-0000-0000-00000D020000}"/>
    <cellStyle name="komma4" xfId="386" xr:uid="{00000000-0005-0000-0000-00000E020000}"/>
    <cellStyle name="kr" xfId="387" xr:uid="{00000000-0005-0000-0000-00000F020000}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Link" xfId="29" builtinId="8" hidden="1"/>
    <cellStyle name="Link" xfId="31" builtinId="8" hidden="1"/>
    <cellStyle name="Link" xfId="33" builtinId="8" hidden="1"/>
    <cellStyle name="Link" xfId="35" builtinId="8" hidden="1"/>
    <cellStyle name="Link" xfId="37" builtinId="8" hidden="1"/>
    <cellStyle name="Link" xfId="39" builtinId="8" hidden="1"/>
    <cellStyle name="Link" xfId="41" builtinId="8" hidden="1"/>
    <cellStyle name="Link" xfId="43" builtinId="8" hidden="1"/>
    <cellStyle name="Link" xfId="45" builtinId="8" hidden="1"/>
    <cellStyle name="Link" xfId="47" builtinId="8" hidden="1"/>
    <cellStyle name="Link" xfId="49" builtinId="8" hidden="1"/>
    <cellStyle name="Link" xfId="51" builtinId="8" hidden="1"/>
    <cellStyle name="Link" xfId="53" builtinId="8" hidden="1"/>
    <cellStyle name="Link" xfId="55" builtinId="8" hidden="1"/>
    <cellStyle name="Link" xfId="57" builtinId="8" hidden="1"/>
    <cellStyle name="Link" xfId="59" builtinId="8" hidden="1"/>
    <cellStyle name="Link" xfId="61" builtinId="8" hidden="1"/>
    <cellStyle name="Link" xfId="63" builtinId="8" hidden="1"/>
    <cellStyle name="Link" xfId="65" builtinId="8" hidden="1"/>
    <cellStyle name="Link" xfId="67" builtinId="8" hidden="1"/>
    <cellStyle name="Link" xfId="69" builtinId="8" hidden="1"/>
    <cellStyle name="Link" xfId="71" builtinId="8" hidden="1"/>
    <cellStyle name="Link" xfId="73" builtinId="8" hidden="1"/>
    <cellStyle name="Link" xfId="75" builtinId="8" hidden="1"/>
    <cellStyle name="Link" xfId="77" builtinId="8" hidden="1"/>
    <cellStyle name="Link" xfId="79" builtinId="8" hidden="1"/>
    <cellStyle name="Link" xfId="81" builtinId="8" hidden="1"/>
    <cellStyle name="Link" xfId="83" builtinId="8" hidden="1"/>
    <cellStyle name="Link" xfId="85" builtinId="8" hidden="1"/>
    <cellStyle name="Link" xfId="87" builtinId="8" hidden="1"/>
    <cellStyle name="Link" xfId="89" builtinId="8" hidden="1"/>
    <cellStyle name="Link" xfId="91" builtinId="8" hidden="1"/>
    <cellStyle name="Link" xfId="93" builtinId="8" hidden="1"/>
    <cellStyle name="Link" xfId="95" builtinId="8" hidden="1"/>
    <cellStyle name="Link" xfId="97" builtinId="8" hidden="1"/>
    <cellStyle name="Link" xfId="99" builtinId="8" hidden="1"/>
    <cellStyle name="Link" xfId="101" builtinId="8" hidden="1"/>
    <cellStyle name="Link" xfId="103" builtinId="8" hidden="1"/>
    <cellStyle name="Link" xfId="105" builtinId="8" hidden="1"/>
    <cellStyle name="Link" xfId="107" builtinId="8" hidden="1"/>
    <cellStyle name="Link" xfId="109" builtinId="8" hidden="1"/>
    <cellStyle name="Link" xfId="111" builtinId="8" hidden="1"/>
    <cellStyle name="Link" xfId="113" builtinId="8" hidden="1"/>
    <cellStyle name="Link" xfId="115" builtinId="8" hidden="1"/>
    <cellStyle name="Link" xfId="117" builtinId="8" hidden="1"/>
    <cellStyle name="Link" xfId="119" builtinId="8" hidden="1"/>
    <cellStyle name="Link" xfId="121" builtinId="8" hidden="1"/>
    <cellStyle name="Link" xfId="123" builtinId="8" hidden="1"/>
    <cellStyle name="Link" xfId="125" builtinId="8" hidden="1"/>
    <cellStyle name="Link" xfId="127" builtinId="8" hidden="1"/>
    <cellStyle name="Link" xfId="129" builtinId="8" hidden="1"/>
    <cellStyle name="Link" xfId="131" builtinId="8" hidden="1"/>
    <cellStyle name="Link" xfId="133" builtinId="8" hidden="1"/>
    <cellStyle name="Link" xfId="135" builtinId="8" hidden="1"/>
    <cellStyle name="Link" xfId="137" builtinId="8" hidden="1"/>
    <cellStyle name="Link" xfId="139" builtinId="8" hidden="1"/>
    <cellStyle name="Link" xfId="141" builtinId="8" hidden="1"/>
    <cellStyle name="Link" xfId="143" builtinId="8" hidden="1"/>
    <cellStyle name="Link" xfId="145" builtinId="8" hidden="1"/>
    <cellStyle name="Link" xfId="147" builtinId="8" hidden="1"/>
    <cellStyle name="Link" xfId="149" builtinId="8" hidden="1"/>
    <cellStyle name="Link" xfId="151" builtinId="8" hidden="1"/>
    <cellStyle name="Link" xfId="153" builtinId="8" hidden="1"/>
    <cellStyle name="Link" xfId="155" builtinId="8" hidden="1"/>
    <cellStyle name="Link" xfId="157" builtinId="8" hidden="1"/>
    <cellStyle name="Link" xfId="159" builtinId="8" hidden="1"/>
    <cellStyle name="Link" xfId="161" builtinId="8" hidden="1"/>
    <cellStyle name="Link" xfId="163" builtinId="8" hidden="1"/>
    <cellStyle name="Link" xfId="165" builtinId="8" hidden="1"/>
    <cellStyle name="Link" xfId="167" builtinId="8" hidden="1"/>
    <cellStyle name="Link" xfId="169" builtinId="8" hidden="1"/>
    <cellStyle name="Link" xfId="171" builtinId="8" hidden="1"/>
    <cellStyle name="Link" xfId="173" builtinId="8" hidden="1"/>
    <cellStyle name="Link" xfId="175" builtinId="8" hidden="1"/>
    <cellStyle name="Link" xfId="177" builtinId="8" hidden="1"/>
    <cellStyle name="Link" xfId="179" builtinId="8" hidden="1"/>
    <cellStyle name="Link" xfId="181" builtinId="8" hidden="1"/>
    <cellStyle name="Link" xfId="183" builtinId="8" hidden="1"/>
    <cellStyle name="Link" xfId="185" builtinId="8" hidden="1"/>
    <cellStyle name="Link" xfId="187" builtinId="8" hidden="1"/>
    <cellStyle name="Link" xfId="189" builtinId="8" hidden="1"/>
    <cellStyle name="Link" xfId="191" builtinId="8" hidden="1"/>
    <cellStyle name="Link" xfId="193" builtinId="8" hidden="1"/>
    <cellStyle name="Link" xfId="195" builtinId="8" hidden="1"/>
    <cellStyle name="Link" xfId="197" builtinId="8" hidden="1"/>
    <cellStyle name="Link" xfId="199" builtinId="8" hidden="1"/>
    <cellStyle name="Link" xfId="201" builtinId="8" hidden="1"/>
    <cellStyle name="Link" xfId="203" builtinId="8" hidden="1"/>
    <cellStyle name="Link" xfId="205" builtinId="8" hidden="1"/>
    <cellStyle name="Link" xfId="207" builtinId="8" hidden="1"/>
    <cellStyle name="Link" xfId="209" builtinId="8" hidden="1"/>
    <cellStyle name="Link" xfId="211" builtinId="8" hidden="1"/>
    <cellStyle name="Link" xfId="213" builtinId="8" hidden="1"/>
    <cellStyle name="Link" xfId="215" builtinId="8" hidden="1"/>
    <cellStyle name="Link" xfId="217" builtinId="8" hidden="1"/>
    <cellStyle name="Link" xfId="219" builtinId="8" hidden="1"/>
    <cellStyle name="Link" xfId="221" builtinId="8" hidden="1"/>
    <cellStyle name="Link" xfId="223" builtinId="8" hidden="1"/>
    <cellStyle name="Link" xfId="225" builtinId="8" hidden="1"/>
    <cellStyle name="Link" xfId="227" builtinId="8" hidden="1"/>
    <cellStyle name="Link" xfId="229" builtinId="8" hidden="1"/>
    <cellStyle name="Link" xfId="231" builtinId="8" hidden="1"/>
    <cellStyle name="Link" xfId="233" builtinId="8" hidden="1"/>
    <cellStyle name="Link" xfId="235" builtinId="8" hidden="1"/>
    <cellStyle name="Link" xfId="237" builtinId="8" hidden="1"/>
    <cellStyle name="Link" xfId="239" builtinId="8" hidden="1"/>
    <cellStyle name="Link" xfId="241" builtinId="8" hidden="1"/>
    <cellStyle name="Link" xfId="243" builtinId="8" hidden="1"/>
    <cellStyle name="Link" xfId="245" builtinId="8" hidden="1"/>
    <cellStyle name="Link" xfId="247" builtinId="8" hidden="1"/>
    <cellStyle name="Link" xfId="249" builtinId="8" hidden="1"/>
    <cellStyle name="Link" xfId="251" builtinId="8" hidden="1"/>
    <cellStyle name="Link" xfId="253" builtinId="8" hidden="1"/>
    <cellStyle name="Link" xfId="255" builtinId="8" hidden="1"/>
    <cellStyle name="Link" xfId="257" builtinId="8" hidden="1"/>
    <cellStyle name="Link" xfId="259" builtinId="8" hidden="1"/>
    <cellStyle name="Link" xfId="261" builtinId="8" hidden="1"/>
    <cellStyle name="Link" xfId="263" builtinId="8" hidden="1"/>
    <cellStyle name="Link" xfId="265" builtinId="8" hidden="1"/>
    <cellStyle name="Link" xfId="267" builtinId="8" hidden="1"/>
    <cellStyle name="Link" xfId="269" builtinId="8" hidden="1"/>
    <cellStyle name="Link" xfId="271" builtinId="8" hidden="1"/>
    <cellStyle name="Link" xfId="273" builtinId="8" hidden="1"/>
    <cellStyle name="Link" xfId="275" builtinId="8" hidden="1"/>
    <cellStyle name="Link" xfId="277" builtinId="8" hidden="1"/>
    <cellStyle name="Link" xfId="279" builtinId="8" hidden="1"/>
    <cellStyle name="Link" xfId="281" builtinId="8" hidden="1"/>
    <cellStyle name="Link" xfId="283" builtinId="8" hidden="1"/>
    <cellStyle name="Link" xfId="285" builtinId="8" hidden="1"/>
    <cellStyle name="Link" xfId="287" builtinId="8" hidden="1"/>
    <cellStyle name="Link" xfId="289" builtinId="8" hidden="1"/>
    <cellStyle name="Link" xfId="291" builtinId="8" hidden="1"/>
    <cellStyle name="Link" xfId="293" builtinId="8" hidden="1"/>
    <cellStyle name="Link" xfId="295" builtinId="8" hidden="1"/>
    <cellStyle name="Link" xfId="297" builtinId="8" hidden="1"/>
    <cellStyle name="Link" xfId="299" builtinId="8" hidden="1"/>
    <cellStyle name="Link" xfId="301" builtinId="8" hidden="1"/>
    <cellStyle name="Link" xfId="303" builtinId="8" hidden="1"/>
    <cellStyle name="Link" xfId="305" builtinId="8" hidden="1"/>
    <cellStyle name="Link" xfId="307" builtinId="8" hidden="1"/>
    <cellStyle name="Link" xfId="309" builtinId="8" hidden="1"/>
    <cellStyle name="Link" xfId="311" builtinId="8" hidden="1"/>
    <cellStyle name="Link" xfId="313" builtinId="8" hidden="1"/>
    <cellStyle name="Link" xfId="315" builtinId="8" hidden="1"/>
    <cellStyle name="Link" xfId="317" builtinId="8" hidden="1"/>
    <cellStyle name="Link" xfId="319" builtinId="8" hidden="1"/>
    <cellStyle name="Link" xfId="321" builtinId="8" hidden="1"/>
    <cellStyle name="Link" xfId="323" builtinId="8" hidden="1"/>
    <cellStyle name="Link" xfId="325" builtinId="8" hidden="1"/>
    <cellStyle name="Link" xfId="327" builtinId="8" hidden="1"/>
    <cellStyle name="Link" xfId="329" builtinId="8" hidden="1"/>
    <cellStyle name="Link" xfId="331" builtinId="8" hidden="1"/>
    <cellStyle name="Link" xfId="333" builtinId="8" hidden="1"/>
    <cellStyle name="Link" xfId="335" builtinId="8" hidden="1"/>
    <cellStyle name="Link" xfId="337" builtinId="8" hidden="1"/>
    <cellStyle name="Link" xfId="339" builtinId="8" hidden="1"/>
    <cellStyle name="Link" xfId="341" builtinId="8" hidden="1"/>
    <cellStyle name="Link" xfId="344" builtinId="8" hidden="1"/>
    <cellStyle name="Link" xfId="346" builtinId="8" hidden="1"/>
    <cellStyle name="Link" xfId="348" builtinId="8" hidden="1"/>
    <cellStyle name="Link" xfId="350" builtinId="8" hidden="1"/>
    <cellStyle name="Link" xfId="352" builtinId="8" hidden="1"/>
    <cellStyle name="Link" xfId="354" builtinId="8" hidden="1"/>
    <cellStyle name="Link" xfId="356" builtinId="8" hidden="1"/>
    <cellStyle name="Link" xfId="358" builtinId="8" hidden="1"/>
    <cellStyle name="Link" xfId="360" builtinId="8" hidden="1"/>
    <cellStyle name="Link" xfId="362" builtinId="8" hidden="1"/>
    <cellStyle name="Link" xfId="364" builtinId="8" hidden="1"/>
    <cellStyle name="Link" xfId="366" builtinId="8" hidden="1"/>
    <cellStyle name="Link" xfId="368" builtinId="8" hidden="1"/>
    <cellStyle name="Link" xfId="370" builtinId="8" hidden="1"/>
    <cellStyle name="Link" xfId="393" builtinId="8" hidden="1"/>
    <cellStyle name="Link" xfId="395" builtinId="8" hidden="1"/>
    <cellStyle name="Link" xfId="397" builtinId="8" hidden="1"/>
    <cellStyle name="Link" xfId="399" builtinId="8" hidden="1"/>
    <cellStyle name="Link" xfId="401" builtinId="8" hidden="1"/>
    <cellStyle name="Link" xfId="403" builtinId="8" hidden="1"/>
    <cellStyle name="Link" xfId="405" builtinId="8" hidden="1"/>
    <cellStyle name="Link" xfId="407" builtinId="8" hidden="1"/>
    <cellStyle name="Link" xfId="409" builtinId="8" hidden="1"/>
    <cellStyle name="Link" xfId="411" builtinId="8" hidden="1"/>
    <cellStyle name="Link" xfId="413" builtinId="8" hidden="1"/>
    <cellStyle name="Link" xfId="415" builtinId="8" hidden="1"/>
    <cellStyle name="Link" xfId="417" builtinId="8" hidden="1"/>
    <cellStyle name="Link" xfId="419" builtinId="8" hidden="1"/>
    <cellStyle name="Link" xfId="421" builtinId="8" hidden="1"/>
    <cellStyle name="Link" xfId="423" builtinId="8" hidden="1"/>
    <cellStyle name="Link" xfId="425" builtinId="8" hidden="1"/>
    <cellStyle name="Link" xfId="427" builtinId="8" hidden="1"/>
    <cellStyle name="Link" xfId="429" builtinId="8" hidden="1"/>
    <cellStyle name="Link" xfId="431" builtinId="8" hidden="1"/>
    <cellStyle name="Link" xfId="433" builtinId="8" hidden="1"/>
    <cellStyle name="Link" xfId="435" builtinId="8" hidden="1"/>
    <cellStyle name="Link" xfId="437" builtinId="8" hidden="1"/>
    <cellStyle name="Link" xfId="439" builtinId="8" hidden="1"/>
    <cellStyle name="Link" xfId="441" builtinId="8" hidden="1"/>
    <cellStyle name="Link" xfId="443" builtinId="8" hidden="1"/>
    <cellStyle name="Link" xfId="445" builtinId="8" hidden="1"/>
    <cellStyle name="Link" xfId="447" builtinId="8" hidden="1"/>
    <cellStyle name="Link" xfId="449" builtinId="8" hidden="1"/>
    <cellStyle name="Link" xfId="451" builtinId="8" hidden="1"/>
    <cellStyle name="Link" xfId="453" builtinId="8" hidden="1"/>
    <cellStyle name="Link" xfId="455" builtinId="8" hidden="1"/>
    <cellStyle name="Link" xfId="457" builtinId="8" hidden="1"/>
    <cellStyle name="Link" xfId="459" builtinId="8" hidden="1"/>
    <cellStyle name="Link" xfId="461" builtinId="8" hidden="1"/>
    <cellStyle name="Link" xfId="463" builtinId="8" hidden="1"/>
    <cellStyle name="Link" xfId="465" builtinId="8" hidden="1"/>
    <cellStyle name="Link" xfId="467" builtinId="8" hidden="1"/>
    <cellStyle name="Link" xfId="469" builtinId="8" hidden="1"/>
    <cellStyle name="Link" xfId="471" builtinId="8" hidden="1"/>
    <cellStyle name="Link" xfId="473" builtinId="8" hidden="1"/>
    <cellStyle name="Link" xfId="475" builtinId="8" hidden="1"/>
    <cellStyle name="Link" xfId="477" builtinId="8" hidden="1"/>
    <cellStyle name="Link" xfId="479" builtinId="8" hidden="1"/>
    <cellStyle name="Link" xfId="481" builtinId="8" hidden="1"/>
    <cellStyle name="Link" xfId="483" builtinId="8" hidden="1"/>
    <cellStyle name="Link" xfId="485" builtinId="8" hidden="1"/>
    <cellStyle name="Link" xfId="487" builtinId="8" hidden="1"/>
    <cellStyle name="Link" xfId="489" builtinId="8" hidden="1"/>
    <cellStyle name="Link" xfId="491" builtinId="8" hidden="1"/>
    <cellStyle name="Link" xfId="493" builtinId="8" hidden="1"/>
    <cellStyle name="Link" xfId="495" builtinId="8" hidden="1"/>
    <cellStyle name="Link" xfId="497" builtinId="8" hidden="1"/>
    <cellStyle name="Link" xfId="499" builtinId="8" hidden="1"/>
    <cellStyle name="Link" xfId="501" builtinId="8" hidden="1"/>
    <cellStyle name="Link" xfId="503" builtinId="8" hidden="1"/>
    <cellStyle name="Link" xfId="505" builtinId="8" hidden="1"/>
    <cellStyle name="Link" xfId="507" builtinId="8" hidden="1"/>
    <cellStyle name="Link" xfId="509" builtinId="8" hidden="1"/>
    <cellStyle name="Link" xfId="511" builtinId="8" hidden="1"/>
    <cellStyle name="Link" xfId="513" builtinId="8" hidden="1"/>
    <cellStyle name="Link" xfId="515" builtinId="8" hidden="1"/>
    <cellStyle name="Link" xfId="517" builtinId="8" hidden="1"/>
    <cellStyle name="Link" xfId="519" builtinId="8" hidden="1"/>
    <cellStyle name="Link" xfId="521" builtinId="8" hidden="1"/>
    <cellStyle name="Link" xfId="523" builtinId="8" hidden="1"/>
    <cellStyle name="Link" xfId="525" builtinId="8" hidden="1"/>
    <cellStyle name="Link" xfId="527" builtinId="8" hidden="1"/>
    <cellStyle name="Link" xfId="529" builtinId="8" hidden="1"/>
    <cellStyle name="Link" xfId="531" builtinId="8" hidden="1"/>
    <cellStyle name="Link" xfId="533" builtinId="8" hidden="1"/>
    <cellStyle name="Normal" xfId="0" builtinId="0"/>
    <cellStyle name="Normal 2" xfId="372" xr:uid="{00000000-0005-0000-0000-000011020000}"/>
    <cellStyle name="prc0" xfId="388" xr:uid="{00000000-0005-0000-0000-000015020000}"/>
    <cellStyle name="prc1" xfId="389" xr:uid="{00000000-0005-0000-0000-000016020000}"/>
    <cellStyle name="prc2" xfId="390" xr:uid="{00000000-0005-0000-0000-000017020000}"/>
    <cellStyle name="skkode" xfId="391" xr:uid="{00000000-0005-0000-0000-000018020000}"/>
    <cellStyle name="skygget" xfId="392" xr:uid="{00000000-0005-0000-0000-000019020000}"/>
  </cellStyles>
  <dxfs count="239"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0"/>
      </font>
      <fill>
        <patternFill>
          <bgColor theme="4" tint="0.39994506668294322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0"/>
      </font>
      <fill>
        <patternFill>
          <bgColor theme="4" tint="0.39994506668294322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0"/>
      </font>
      <fill>
        <patternFill>
          <bgColor theme="4" tint="0.39994506668294322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0"/>
      </font>
      <fill>
        <patternFill>
          <bgColor theme="4" tint="0.3999450666829432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0"/>
      </font>
      <fill>
        <patternFill>
          <bgColor theme="1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0"/>
      </font>
      <fill>
        <patternFill>
          <bgColor theme="4" tint="0.39994506668294322"/>
        </patternFill>
      </fill>
    </dxf>
    <dxf>
      <font>
        <color theme="1"/>
      </font>
      <fill>
        <patternFill>
          <fgColor auto="1"/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fgColor auto="1"/>
          <bgColor theme="4" tint="-0.24994659260841701"/>
        </patternFill>
      </fill>
    </dxf>
    <dxf>
      <font>
        <color theme="0"/>
      </font>
      <fill>
        <patternFill>
          <bgColor theme="4" tint="0.3999450666829432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4" tint="0.3999450666829432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4" tint="0.39994506668294322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4" tint="0.3999450666829432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0"/>
      </font>
      <fill>
        <patternFill>
          <bgColor theme="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0"/>
      </font>
      <fill>
        <patternFill patternType="solid">
          <bgColor theme="4" tint="-0.24994659260841701"/>
        </patternFill>
      </fill>
    </dxf>
    <dxf>
      <font>
        <color theme="1"/>
      </font>
      <fill>
        <patternFill patternType="solid">
          <fgColor indexed="64"/>
          <bgColor theme="4" tint="0.79998168889431442"/>
        </patternFill>
      </fill>
    </dxf>
    <dxf>
      <font>
        <color theme="0"/>
      </font>
      <fill>
        <patternFill patternType="solid">
          <bgColor theme="4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1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0"/>
      </font>
      <fill>
        <patternFill>
          <bgColor theme="4" tint="0.3999450666829432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0"/>
      </font>
      <fill>
        <patternFill>
          <bgColor theme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 patternType="solid">
          <bgColor theme="4" tint="-0.24994659260841701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 patternType="solid">
          <bgColor theme="4" tint="0.79998168889431442"/>
        </patternFill>
      </fill>
    </dxf>
    <dxf>
      <font>
        <color theme="0"/>
      </font>
      <fill>
        <patternFill patternType="solid">
          <bgColor theme="4" tint="0.39994506668294322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 patternType="solid">
          <bgColor theme="0"/>
        </patternFill>
      </fill>
    </dxf>
  </dxfs>
  <tableStyles count="0" defaultTableStyle="TableStyleMedium9" defaultPivotStyle="PivotStyleMedium4"/>
  <colors>
    <mruColors>
      <color rgb="FFFF2F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jp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4.jpeg"/><Relationship Id="rId4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jpeg"/><Relationship Id="rId2" Type="http://schemas.openxmlformats.org/officeDocument/2006/relationships/image" Target="../media/image8.jpeg"/><Relationship Id="rId1" Type="http://schemas.openxmlformats.org/officeDocument/2006/relationships/image" Target="../media/image6.jpg"/><Relationship Id="rId5" Type="http://schemas.openxmlformats.org/officeDocument/2006/relationships/image" Target="../media/image9.jpeg"/><Relationship Id="rId4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1114424</xdr:colOff>
      <xdr:row>2</xdr:row>
      <xdr:rowOff>239824</xdr:rowOff>
    </xdr:from>
    <xdr:to>
      <xdr:col>3</xdr:col>
      <xdr:colOff>47623</xdr:colOff>
      <xdr:row>6</xdr:row>
      <xdr:rowOff>200025</xdr:rowOff>
    </xdr:to>
    <xdr:pic>
      <xdr:nvPicPr>
        <xdr:cNvPr id="2" name="Billede 1" descr="Hinnerup Sommerfest - Home | Facebook">
          <a:extLst>
            <a:ext uri="{FF2B5EF4-FFF2-40B4-BE49-F238E27FC236}">
              <a16:creationId xmlns:a16="http://schemas.microsoft.com/office/drawing/2014/main" id="{64A0C277-6927-4E13-AF2F-A97752694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4" y="868474"/>
          <a:ext cx="781049" cy="1322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1047750</xdr:colOff>
      <xdr:row>11</xdr:row>
      <xdr:rowOff>122822</xdr:rowOff>
    </xdr:from>
    <xdr:to>
      <xdr:col>3</xdr:col>
      <xdr:colOff>266700</xdr:colOff>
      <xdr:row>12</xdr:row>
      <xdr:rowOff>266700</xdr:rowOff>
    </xdr:to>
    <xdr:pic>
      <xdr:nvPicPr>
        <xdr:cNvPr id="4" name="Billede 3" descr="Aktiviteter til første skoledag">
          <a:extLst>
            <a:ext uri="{FF2B5EF4-FFF2-40B4-BE49-F238E27FC236}">
              <a16:creationId xmlns:a16="http://schemas.microsoft.com/office/drawing/2014/main" id="{C2798E5E-BD44-486F-9E9D-3A1843E72B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3532772"/>
          <a:ext cx="1066800" cy="4772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803802</xdr:colOff>
      <xdr:row>17</xdr:row>
      <xdr:rowOff>152400</xdr:rowOff>
    </xdr:from>
    <xdr:to>
      <xdr:col>11</xdr:col>
      <xdr:colOff>347699</xdr:colOff>
      <xdr:row>20</xdr:row>
      <xdr:rowOff>476250</xdr:rowOff>
    </xdr:to>
    <xdr:pic>
      <xdr:nvPicPr>
        <xdr:cNvPr id="6" name="Billede 5" descr="God efterårsferie">
          <a:extLst>
            <a:ext uri="{FF2B5EF4-FFF2-40B4-BE49-F238E27FC236}">
              <a16:creationId xmlns:a16="http://schemas.microsoft.com/office/drawing/2014/main" id="{DC4F55DC-AFA2-4FE5-A9AC-DBC8B6213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4977" y="5429250"/>
          <a:ext cx="1039322" cy="1057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409021</xdr:colOff>
      <xdr:row>27</xdr:row>
      <xdr:rowOff>76200</xdr:rowOff>
    </xdr:from>
    <xdr:to>
      <xdr:col>19</xdr:col>
      <xdr:colOff>133350</xdr:colOff>
      <xdr:row>30</xdr:row>
      <xdr:rowOff>200024</xdr:rowOff>
    </xdr:to>
    <xdr:pic>
      <xdr:nvPicPr>
        <xdr:cNvPr id="7" name="Billede 6" descr="Juleferie - Danmarks Biblioteksforening">
          <a:extLst>
            <a:ext uri="{FF2B5EF4-FFF2-40B4-BE49-F238E27FC236}">
              <a16:creationId xmlns:a16="http://schemas.microsoft.com/office/drawing/2014/main" id="{5556BC84-CF5D-4E07-91C5-9E09599D31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77021" y="11020425"/>
          <a:ext cx="1172129" cy="1609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523875</xdr:colOff>
      <xdr:row>26</xdr:row>
      <xdr:rowOff>438150</xdr:rowOff>
    </xdr:from>
    <xdr:to>
      <xdr:col>11</xdr:col>
      <xdr:colOff>304800</xdr:colOff>
      <xdr:row>28</xdr:row>
      <xdr:rowOff>579121</xdr:rowOff>
    </xdr:to>
    <xdr:pic>
      <xdr:nvPicPr>
        <xdr:cNvPr id="9" name="Billede 8" descr="terminsprøver - Sydfyns Fri Fagskole">
          <a:extLst>
            <a:ext uri="{FF2B5EF4-FFF2-40B4-BE49-F238E27FC236}">
              <a16:creationId xmlns:a16="http://schemas.microsoft.com/office/drawing/2014/main" id="{02170766-77F4-47B5-9A41-B89E767F62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5050" y="10887075"/>
          <a:ext cx="1276350" cy="11315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152400</xdr:colOff>
      <xdr:row>5</xdr:row>
      <xdr:rowOff>123826</xdr:rowOff>
    </xdr:from>
    <xdr:to>
      <xdr:col>23</xdr:col>
      <xdr:colOff>76200</xdr:colOff>
      <xdr:row>6</xdr:row>
      <xdr:rowOff>466725</xdr:rowOff>
    </xdr:to>
    <xdr:pic>
      <xdr:nvPicPr>
        <xdr:cNvPr id="10" name="Billede 9" descr="terminsprøver - Sydfyns Fri Fagskole">
          <a:extLst>
            <a:ext uri="{FF2B5EF4-FFF2-40B4-BE49-F238E27FC236}">
              <a16:creationId xmlns:a16="http://schemas.microsoft.com/office/drawing/2014/main" id="{0A0120E5-1E4F-4714-91E0-38D4A52F5D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92100" y="1771651"/>
          <a:ext cx="1276350" cy="676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26</xdr:col>
      <xdr:colOff>1143000</xdr:colOff>
      <xdr:row>12</xdr:row>
      <xdr:rowOff>28575</xdr:rowOff>
    </xdr:from>
    <xdr:to>
      <xdr:col>27</xdr:col>
      <xdr:colOff>276225</xdr:colOff>
      <xdr:row>15</xdr:row>
      <xdr:rowOff>213328</xdr:rowOff>
    </xdr:to>
    <xdr:pic>
      <xdr:nvPicPr>
        <xdr:cNvPr id="12" name="Billede 11">
          <a:extLst>
            <a:ext uri="{FF2B5EF4-FFF2-40B4-BE49-F238E27FC236}">
              <a16:creationId xmlns:a16="http://schemas.microsoft.com/office/drawing/2014/main" id="{8B5393F1-BA6F-4523-91D7-AA257AB394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5992475" y="3771900"/>
          <a:ext cx="1076325" cy="1184878"/>
        </a:xfrm>
        <a:prstGeom prst="rect">
          <a:avLst/>
        </a:prstGeom>
      </xdr:spPr>
    </xdr:pic>
    <xdr:clientData/>
  </xdr:twoCellAnchor>
  <xdr:twoCellAnchor editAs="oneCell">
    <xdr:from>
      <xdr:col>34</xdr:col>
      <xdr:colOff>571500</xdr:colOff>
      <xdr:row>18</xdr:row>
      <xdr:rowOff>161925</xdr:rowOff>
    </xdr:from>
    <xdr:to>
      <xdr:col>34</xdr:col>
      <xdr:colOff>2286000</xdr:colOff>
      <xdr:row>22</xdr:row>
      <xdr:rowOff>104775</xdr:rowOff>
    </xdr:to>
    <xdr:pic>
      <xdr:nvPicPr>
        <xdr:cNvPr id="13" name="Billede 12" descr="Påskeferie med læring: Sjove aktiviteter med børnene - GoTutor">
          <a:extLst>
            <a:ext uri="{FF2B5EF4-FFF2-40B4-BE49-F238E27FC236}">
              <a16:creationId xmlns:a16="http://schemas.microsoft.com/office/drawing/2014/main" id="{9F7DFDFA-3EA1-4F72-87A6-B0B1E0F1B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78725" y="5638800"/>
          <a:ext cx="1714500" cy="1733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30</xdr:col>
      <xdr:colOff>66675</xdr:colOff>
      <xdr:row>3</xdr:row>
      <xdr:rowOff>85725</xdr:rowOff>
    </xdr:from>
    <xdr:to>
      <xdr:col>30</xdr:col>
      <xdr:colOff>1524000</xdr:colOff>
      <xdr:row>5</xdr:row>
      <xdr:rowOff>123133</xdr:rowOff>
    </xdr:to>
    <xdr:pic>
      <xdr:nvPicPr>
        <xdr:cNvPr id="14" name="Billede 13" descr="Tips til Ramadanen i Dubai | Mor i udlandet">
          <a:extLst>
            <a:ext uri="{FF2B5EF4-FFF2-40B4-BE49-F238E27FC236}">
              <a16:creationId xmlns:a16="http://schemas.microsoft.com/office/drawing/2014/main" id="{978188F2-A47D-49A7-A75C-B496337E7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83150" y="1038225"/>
          <a:ext cx="1457325" cy="7327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30</xdr:col>
      <xdr:colOff>190500</xdr:colOff>
      <xdr:row>28</xdr:row>
      <xdr:rowOff>457200</xdr:rowOff>
    </xdr:from>
    <xdr:to>
      <xdr:col>30</xdr:col>
      <xdr:colOff>1493227</xdr:colOff>
      <xdr:row>32</xdr:row>
      <xdr:rowOff>163125</xdr:rowOff>
    </xdr:to>
    <xdr:pic>
      <xdr:nvPicPr>
        <xdr:cNvPr id="16" name="Billede 15" descr="When Is Eid ul Fitr 2022? - Muslim and Quran">
          <a:extLst>
            <a:ext uri="{FF2B5EF4-FFF2-40B4-BE49-F238E27FC236}">
              <a16:creationId xmlns:a16="http://schemas.microsoft.com/office/drawing/2014/main" id="{5D949AD3-CCCC-4BDC-9A50-66D92DFBD3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06975" y="11896725"/>
          <a:ext cx="1302727" cy="1096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42</xdr:col>
      <xdr:colOff>1085850</xdr:colOff>
      <xdr:row>24</xdr:row>
      <xdr:rowOff>361950</xdr:rowOff>
    </xdr:from>
    <xdr:to>
      <xdr:col>43</xdr:col>
      <xdr:colOff>28575</xdr:colOff>
      <xdr:row>27</xdr:row>
      <xdr:rowOff>19050</xdr:rowOff>
    </xdr:to>
    <xdr:pic>
      <xdr:nvPicPr>
        <xdr:cNvPr id="17" name="Billede 16">
          <a:extLst>
            <a:ext uri="{FF2B5EF4-FFF2-40B4-BE49-F238E27FC236}">
              <a16:creationId xmlns:a16="http://schemas.microsoft.com/office/drawing/2014/main" id="{1C5AD4EF-F2E4-4F3F-80BE-B28588F0AF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41350" y="9820275"/>
          <a:ext cx="1209675" cy="114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1057275</xdr:colOff>
      <xdr:row>15</xdr:row>
      <xdr:rowOff>180975</xdr:rowOff>
    </xdr:from>
    <xdr:to>
      <xdr:col>39</xdr:col>
      <xdr:colOff>161924</xdr:colOff>
      <xdr:row>19</xdr:row>
      <xdr:rowOff>142874</xdr:rowOff>
    </xdr:to>
    <xdr:pic>
      <xdr:nvPicPr>
        <xdr:cNvPr id="18" name="Billede 17" descr="Lille Peter på dødslisten | Taxamand.dk">
          <a:extLst>
            <a:ext uri="{FF2B5EF4-FFF2-40B4-BE49-F238E27FC236}">
              <a16:creationId xmlns:a16="http://schemas.microsoft.com/office/drawing/2014/main" id="{D038B622-CB56-4B30-8092-D8EF92ECFD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60125" y="5229225"/>
          <a:ext cx="895349" cy="895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46</xdr:col>
      <xdr:colOff>114300</xdr:colOff>
      <xdr:row>20</xdr:row>
      <xdr:rowOff>457200</xdr:rowOff>
    </xdr:from>
    <xdr:to>
      <xdr:col>47</xdr:col>
      <xdr:colOff>228599</xdr:colOff>
      <xdr:row>22</xdr:row>
      <xdr:rowOff>1085849</xdr:rowOff>
    </xdr:to>
    <xdr:pic>
      <xdr:nvPicPr>
        <xdr:cNvPr id="20" name="Billede 19" descr="Sommerferie 2022: Her er redaktionens 10 favoritter - RejsRejsRejs">
          <a:extLst>
            <a:ext uri="{FF2B5EF4-FFF2-40B4-BE49-F238E27FC236}">
              <a16:creationId xmlns:a16="http://schemas.microsoft.com/office/drawing/2014/main" id="{8BF98E27-85EE-4D3E-9793-8EEEE26CB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41600" y="6467475"/>
          <a:ext cx="1504949" cy="18859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1038225</xdr:colOff>
      <xdr:row>3</xdr:row>
      <xdr:rowOff>190500</xdr:rowOff>
    </xdr:from>
    <xdr:to>
      <xdr:col>2</xdr:col>
      <xdr:colOff>1819274</xdr:colOff>
      <xdr:row>6</xdr:row>
      <xdr:rowOff>142875</xdr:rowOff>
    </xdr:to>
    <xdr:pic>
      <xdr:nvPicPr>
        <xdr:cNvPr id="3" name="Billede 2" descr="Hinnerup Sommerfest - Home | Facebook">
          <a:extLst>
            <a:ext uri="{FF2B5EF4-FFF2-40B4-BE49-F238E27FC236}">
              <a16:creationId xmlns:a16="http://schemas.microsoft.com/office/drawing/2014/main" id="{7F79061E-FB12-4E8C-80F4-AD0B4B5C31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5" y="1000125"/>
          <a:ext cx="781049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923925</xdr:colOff>
      <xdr:row>9</xdr:row>
      <xdr:rowOff>161925</xdr:rowOff>
    </xdr:from>
    <xdr:to>
      <xdr:col>3</xdr:col>
      <xdr:colOff>133350</xdr:colOff>
      <xdr:row>11</xdr:row>
      <xdr:rowOff>105778</xdr:rowOff>
    </xdr:to>
    <xdr:pic>
      <xdr:nvPicPr>
        <xdr:cNvPr id="5" name="Billede 4" descr="Aktiviteter til første skoledag">
          <a:extLst>
            <a:ext uri="{FF2B5EF4-FFF2-40B4-BE49-F238E27FC236}">
              <a16:creationId xmlns:a16="http://schemas.microsoft.com/office/drawing/2014/main" id="{AD8A1482-9227-4E18-8FB4-90C1F94B4E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5" y="2895600"/>
          <a:ext cx="1066800" cy="4772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742949</xdr:colOff>
      <xdr:row>17</xdr:row>
      <xdr:rowOff>190501</xdr:rowOff>
    </xdr:from>
    <xdr:to>
      <xdr:col>11</xdr:col>
      <xdr:colOff>386931</xdr:colOff>
      <xdr:row>21</xdr:row>
      <xdr:rowOff>457201</xdr:rowOff>
    </xdr:to>
    <xdr:pic>
      <xdr:nvPicPr>
        <xdr:cNvPr id="6" name="Billede 5" descr="God efterårsferie">
          <a:extLst>
            <a:ext uri="{FF2B5EF4-FFF2-40B4-BE49-F238E27FC236}">
              <a16:creationId xmlns:a16="http://schemas.microsoft.com/office/drawing/2014/main" id="{BB1568FA-3327-4313-A455-8DCA0907B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2724" y="4791076"/>
          <a:ext cx="1310857" cy="1333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495300</xdr:colOff>
      <xdr:row>26</xdr:row>
      <xdr:rowOff>447675</xdr:rowOff>
    </xdr:from>
    <xdr:to>
      <xdr:col>11</xdr:col>
      <xdr:colOff>104775</xdr:colOff>
      <xdr:row>28</xdr:row>
      <xdr:rowOff>588646</xdr:rowOff>
    </xdr:to>
    <xdr:pic>
      <xdr:nvPicPr>
        <xdr:cNvPr id="7" name="Billede 6" descr="terminsprøver - Sydfyns Fri Fagskole">
          <a:extLst>
            <a:ext uri="{FF2B5EF4-FFF2-40B4-BE49-F238E27FC236}">
              <a16:creationId xmlns:a16="http://schemas.microsoft.com/office/drawing/2014/main" id="{1D817680-19ED-442A-9171-42893B102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9886950"/>
          <a:ext cx="1276350" cy="11315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142875</xdr:colOff>
      <xdr:row>5</xdr:row>
      <xdr:rowOff>28576</xdr:rowOff>
    </xdr:from>
    <xdr:to>
      <xdr:col>22</xdr:col>
      <xdr:colOff>1419225</xdr:colOff>
      <xdr:row>6</xdr:row>
      <xdr:rowOff>457200</xdr:rowOff>
    </xdr:to>
    <xdr:pic>
      <xdr:nvPicPr>
        <xdr:cNvPr id="9" name="Billede 8" descr="terminsprøver - Sydfyns Fri Fagskole">
          <a:extLst>
            <a:ext uri="{FF2B5EF4-FFF2-40B4-BE49-F238E27FC236}">
              <a16:creationId xmlns:a16="http://schemas.microsoft.com/office/drawing/2014/main" id="{58069728-2AB6-4F7A-ABFD-DD39EE3F0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20775" y="1533526"/>
          <a:ext cx="1276350" cy="7619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352425</xdr:colOff>
      <xdr:row>22</xdr:row>
      <xdr:rowOff>685800</xdr:rowOff>
    </xdr:from>
    <xdr:to>
      <xdr:col>19</xdr:col>
      <xdr:colOff>86279</xdr:colOff>
      <xdr:row>24</xdr:row>
      <xdr:rowOff>333374</xdr:rowOff>
    </xdr:to>
    <xdr:pic>
      <xdr:nvPicPr>
        <xdr:cNvPr id="10" name="Billede 9" descr="Juleferie - Danmarks Biblioteksforening">
          <a:extLst>
            <a:ext uri="{FF2B5EF4-FFF2-40B4-BE49-F238E27FC236}">
              <a16:creationId xmlns:a16="http://schemas.microsoft.com/office/drawing/2014/main" id="{D6DAC94D-4551-4580-99E7-C88A1A889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63375" y="7010400"/>
          <a:ext cx="1172129" cy="1609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1209675</xdr:colOff>
      <xdr:row>12</xdr:row>
      <xdr:rowOff>228600</xdr:rowOff>
    </xdr:from>
    <xdr:to>
      <xdr:col>3</xdr:col>
      <xdr:colOff>323850</xdr:colOff>
      <xdr:row>16</xdr:row>
      <xdr:rowOff>79978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D408E31E-2B96-4A09-B6F9-3AF161A103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62125" y="3495675"/>
          <a:ext cx="847725" cy="1184878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3</xdr:row>
      <xdr:rowOff>76201</xdr:rowOff>
    </xdr:from>
    <xdr:to>
      <xdr:col>7</xdr:col>
      <xdr:colOff>123825</xdr:colOff>
      <xdr:row>6</xdr:row>
      <xdr:rowOff>400050</xdr:rowOff>
    </xdr:to>
    <xdr:pic>
      <xdr:nvPicPr>
        <xdr:cNvPr id="4" name="Billede 3" descr="Tips til Ramadanen i Dubai | Mor i udlandet">
          <a:extLst>
            <a:ext uri="{FF2B5EF4-FFF2-40B4-BE49-F238E27FC236}">
              <a16:creationId xmlns:a16="http://schemas.microsoft.com/office/drawing/2014/main" id="{32A44BAB-45F2-4292-9538-AB3B54863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1114426"/>
          <a:ext cx="1381125" cy="923924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22</xdr:col>
      <xdr:colOff>1</xdr:colOff>
      <xdr:row>12</xdr:row>
      <xdr:rowOff>0</xdr:rowOff>
    </xdr:from>
    <xdr:to>
      <xdr:col>22</xdr:col>
      <xdr:colOff>1143001</xdr:colOff>
      <xdr:row>18</xdr:row>
      <xdr:rowOff>152399</xdr:rowOff>
    </xdr:to>
    <xdr:pic>
      <xdr:nvPicPr>
        <xdr:cNvPr id="6" name="Billede 5" descr="Sommerferie 2022: Her er redaktionens 10 favoritter - RejsRejsRejs">
          <a:extLst>
            <a:ext uri="{FF2B5EF4-FFF2-40B4-BE49-F238E27FC236}">
              <a16:creationId xmlns:a16="http://schemas.microsoft.com/office/drawing/2014/main" id="{DB7E6F17-B6EB-47AA-8621-208E0AFD86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3176" y="3267075"/>
          <a:ext cx="1143000" cy="18859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1157444</xdr:colOff>
      <xdr:row>16</xdr:row>
      <xdr:rowOff>76200</xdr:rowOff>
    </xdr:from>
    <xdr:to>
      <xdr:col>11</xdr:col>
      <xdr:colOff>380999</xdr:colOff>
      <xdr:row>22</xdr:row>
      <xdr:rowOff>57150</xdr:rowOff>
    </xdr:to>
    <xdr:pic>
      <xdr:nvPicPr>
        <xdr:cNvPr id="7" name="Billede 6" descr="Påskeferie med læring: Sjove aktiviteter med børnene - GoTutor">
          <a:extLst>
            <a:ext uri="{FF2B5EF4-FFF2-40B4-BE49-F238E27FC236}">
              <a16:creationId xmlns:a16="http://schemas.microsoft.com/office/drawing/2014/main" id="{FE25DE01-1CCA-4E5F-856A-84D86D7BE3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8594" y="4676775"/>
          <a:ext cx="1300005" cy="1314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257175</xdr:colOff>
      <xdr:row>25</xdr:row>
      <xdr:rowOff>104775</xdr:rowOff>
    </xdr:from>
    <xdr:to>
      <xdr:col>7</xdr:col>
      <xdr:colOff>0</xdr:colOff>
      <xdr:row>32</xdr:row>
      <xdr:rowOff>220275</xdr:rowOff>
    </xdr:to>
    <xdr:pic>
      <xdr:nvPicPr>
        <xdr:cNvPr id="8" name="Billede 7" descr="When Is Eid ul Fitr 2022? - Muslim and Quran">
          <a:extLst>
            <a:ext uri="{FF2B5EF4-FFF2-40B4-BE49-F238E27FC236}">
              <a16:creationId xmlns:a16="http://schemas.microsoft.com/office/drawing/2014/main" id="{700EC602-B5BE-4B22-83BB-A4BA54A83E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6150" y="6772275"/>
          <a:ext cx="1095375" cy="1649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riskoler.dk/Users/tove/Library/Application%20Support/Microsoft/Office/Office%202011%20AutoRecovery/KAL1516%20(version%201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jledning2015"/>
      <sheetName val="Maaned"/>
      <sheetName val="Aar"/>
      <sheetName val="1.halvaar"/>
      <sheetName val="2.halvaar"/>
      <sheetName val="Aar (tom)"/>
      <sheetName val="1.halvaar (tom)"/>
      <sheetName val="2.halvaar (tom)"/>
      <sheetName val="Minikalender"/>
    </sheetNames>
    <sheetDataSet>
      <sheetData sheetId="0"/>
      <sheetData sheetId="1">
        <row r="3">
          <cell r="A3">
            <v>2015</v>
          </cell>
        </row>
        <row r="5">
          <cell r="C5" t="str">
            <v>lø</v>
          </cell>
          <cell r="H5" t="str">
            <v>ti</v>
          </cell>
          <cell r="M5" t="str">
            <v>to</v>
          </cell>
          <cell r="R5" t="str">
            <v>sø</v>
          </cell>
          <cell r="W5" t="str">
            <v>ti</v>
          </cell>
          <cell r="AB5" t="str">
            <v>fr</v>
          </cell>
          <cell r="AG5" t="str">
            <v>ma</v>
          </cell>
          <cell r="AL5" t="str">
            <v>ti</v>
          </cell>
          <cell r="AQ5" t="str">
            <v>fr</v>
          </cell>
          <cell r="AV5" t="str">
            <v>sø</v>
          </cell>
          <cell r="BA5" t="str">
            <v>on</v>
          </cell>
          <cell r="BF5" t="str">
            <v>fr</v>
          </cell>
        </row>
        <row r="6">
          <cell r="C6" t="str">
            <v>sø</v>
          </cell>
          <cell r="H6" t="str">
            <v>on</v>
          </cell>
          <cell r="M6" t="str">
            <v>fr</v>
          </cell>
          <cell r="R6" t="str">
            <v>ma</v>
          </cell>
          <cell r="W6" t="str">
            <v>on</v>
          </cell>
          <cell r="AB6" t="str">
            <v>lø</v>
          </cell>
          <cell r="AG6" t="str">
            <v>ti</v>
          </cell>
          <cell r="AL6" t="str">
            <v>on</v>
          </cell>
          <cell r="AQ6" t="str">
            <v>lø</v>
          </cell>
          <cell r="AV6" t="str">
            <v>ma</v>
          </cell>
          <cell r="BA6" t="str">
            <v>to</v>
          </cell>
          <cell r="BF6" t="str">
            <v>lø</v>
          </cell>
        </row>
        <row r="7">
          <cell r="C7" t="str">
            <v>ma</v>
          </cell>
          <cell r="H7" t="str">
            <v>to</v>
          </cell>
          <cell r="M7" t="str">
            <v>lø</v>
          </cell>
          <cell r="R7" t="str">
            <v>ti</v>
          </cell>
          <cell r="W7" t="str">
            <v>to</v>
          </cell>
          <cell r="AB7" t="str">
            <v>sø</v>
          </cell>
          <cell r="AG7" t="str">
            <v>on</v>
          </cell>
          <cell r="AL7" t="str">
            <v>to</v>
          </cell>
          <cell r="AQ7" t="str">
            <v>sø</v>
          </cell>
          <cell r="AV7" t="str">
            <v>ti</v>
          </cell>
          <cell r="BA7" t="str">
            <v>fr</v>
          </cell>
          <cell r="BF7" t="str">
            <v>sø</v>
          </cell>
        </row>
        <row r="8">
          <cell r="C8" t="str">
            <v>ti</v>
          </cell>
          <cell r="H8" t="str">
            <v>fr</v>
          </cell>
          <cell r="M8" t="str">
            <v>sø</v>
          </cell>
          <cell r="R8" t="str">
            <v>on</v>
          </cell>
          <cell r="W8" t="str">
            <v>fr</v>
          </cell>
          <cell r="AB8" t="str">
            <v>ma</v>
          </cell>
          <cell r="AG8" t="str">
            <v>to</v>
          </cell>
          <cell r="AL8" t="str">
            <v>fr</v>
          </cell>
          <cell r="AQ8" t="str">
            <v>ma</v>
          </cell>
          <cell r="AV8" t="str">
            <v>on</v>
          </cell>
          <cell r="BA8" t="str">
            <v>lø</v>
          </cell>
          <cell r="BF8" t="str">
            <v>ma</v>
          </cell>
        </row>
        <row r="9">
          <cell r="C9" t="str">
            <v>on</v>
          </cell>
          <cell r="H9" t="str">
            <v>lø</v>
          </cell>
          <cell r="M9" t="str">
            <v>ma</v>
          </cell>
          <cell r="R9" t="str">
            <v>to</v>
          </cell>
          <cell r="W9" t="str">
            <v>lø</v>
          </cell>
          <cell r="AB9" t="str">
            <v>ti</v>
          </cell>
          <cell r="AG9" t="str">
            <v>fr</v>
          </cell>
          <cell r="AL9" t="str">
            <v>lø</v>
          </cell>
          <cell r="AQ9" t="str">
            <v>ti</v>
          </cell>
          <cell r="AV9" t="str">
            <v>to</v>
          </cell>
          <cell r="BA9" t="str">
            <v>sø</v>
          </cell>
          <cell r="BF9" t="str">
            <v>ti</v>
          </cell>
        </row>
        <row r="10">
          <cell r="C10" t="str">
            <v>to</v>
          </cell>
          <cell r="H10" t="str">
            <v>sø</v>
          </cell>
          <cell r="M10" t="str">
            <v>ti</v>
          </cell>
          <cell r="R10" t="str">
            <v>fr</v>
          </cell>
          <cell r="W10" t="str">
            <v>sø</v>
          </cell>
          <cell r="AB10" t="str">
            <v>on</v>
          </cell>
          <cell r="AG10" t="str">
            <v>lø</v>
          </cell>
          <cell r="AL10" t="str">
            <v>sø</v>
          </cell>
          <cell r="AQ10" t="str">
            <v>on</v>
          </cell>
          <cell r="AV10" t="str">
            <v>fr</v>
          </cell>
          <cell r="BA10" t="str">
            <v>ma</v>
          </cell>
          <cell r="BF10" t="str">
            <v>on</v>
          </cell>
        </row>
        <row r="11">
          <cell r="C11" t="str">
            <v>fr</v>
          </cell>
          <cell r="H11" t="str">
            <v>ma</v>
          </cell>
          <cell r="M11" t="str">
            <v>on</v>
          </cell>
          <cell r="R11" t="str">
            <v>lø</v>
          </cell>
          <cell r="W11" t="str">
            <v>ma</v>
          </cell>
          <cell r="AB11" t="str">
            <v>to</v>
          </cell>
          <cell r="AG11" t="str">
            <v>sø</v>
          </cell>
          <cell r="AL11" t="str">
            <v>ma</v>
          </cell>
          <cell r="AQ11" t="str">
            <v>to</v>
          </cell>
          <cell r="AV11" t="str">
            <v>lø</v>
          </cell>
          <cell r="BA11" t="str">
            <v>ti</v>
          </cell>
          <cell r="BF11" t="str">
            <v>to</v>
          </cell>
        </row>
        <row r="12">
          <cell r="C12" t="str">
            <v>lø</v>
          </cell>
          <cell r="H12" t="str">
            <v>ti</v>
          </cell>
          <cell r="M12" t="str">
            <v>to</v>
          </cell>
          <cell r="R12" t="str">
            <v>sø</v>
          </cell>
          <cell r="W12" t="str">
            <v>ti</v>
          </cell>
          <cell r="AB12" t="str">
            <v>fr</v>
          </cell>
          <cell r="AG12" t="str">
            <v>ma</v>
          </cell>
          <cell r="AL12" t="str">
            <v>ti</v>
          </cell>
          <cell r="AQ12" t="str">
            <v>fr</v>
          </cell>
          <cell r="AV12" t="str">
            <v>sø</v>
          </cell>
          <cell r="BA12" t="str">
            <v>on</v>
          </cell>
          <cell r="BF12" t="str">
            <v>fr</v>
          </cell>
        </row>
        <row r="13">
          <cell r="C13" t="str">
            <v>sø</v>
          </cell>
          <cell r="H13" t="str">
            <v>on</v>
          </cell>
          <cell r="M13" t="str">
            <v>fr</v>
          </cell>
          <cell r="R13" t="str">
            <v>ma</v>
          </cell>
          <cell r="W13" t="str">
            <v>on</v>
          </cell>
          <cell r="AB13" t="str">
            <v>lø</v>
          </cell>
          <cell r="AG13" t="str">
            <v>ti</v>
          </cell>
          <cell r="AL13" t="str">
            <v>on</v>
          </cell>
          <cell r="AQ13" t="str">
            <v>lø</v>
          </cell>
          <cell r="AV13" t="str">
            <v>ma</v>
          </cell>
          <cell r="BA13" t="str">
            <v>to</v>
          </cell>
          <cell r="BF13" t="str">
            <v>lø</v>
          </cell>
        </row>
        <row r="14">
          <cell r="C14" t="str">
            <v>ma</v>
          </cell>
          <cell r="H14" t="str">
            <v>to</v>
          </cell>
          <cell r="M14" t="str">
            <v>lø</v>
          </cell>
          <cell r="R14" t="str">
            <v>ti</v>
          </cell>
          <cell r="W14" t="str">
            <v>to</v>
          </cell>
          <cell r="AB14" t="str">
            <v>sø</v>
          </cell>
          <cell r="AG14" t="str">
            <v>on</v>
          </cell>
          <cell r="AL14" t="str">
            <v>to</v>
          </cell>
          <cell r="AQ14" t="str">
            <v>sø</v>
          </cell>
          <cell r="AV14" t="str">
            <v>ti</v>
          </cell>
          <cell r="BA14" t="str">
            <v>fr</v>
          </cell>
          <cell r="BF14" t="str">
            <v>sø</v>
          </cell>
        </row>
        <row r="15">
          <cell r="C15" t="str">
            <v>ti</v>
          </cell>
          <cell r="H15" t="str">
            <v>fr</v>
          </cell>
          <cell r="M15" t="str">
            <v>sø</v>
          </cell>
          <cell r="R15" t="str">
            <v>on</v>
          </cell>
          <cell r="W15" t="str">
            <v>fr</v>
          </cell>
          <cell r="AB15" t="str">
            <v>ma</v>
          </cell>
          <cell r="AG15" t="str">
            <v>to</v>
          </cell>
          <cell r="AL15" t="str">
            <v>fr</v>
          </cell>
          <cell r="AQ15" t="str">
            <v>ma</v>
          </cell>
          <cell r="AV15" t="str">
            <v>on</v>
          </cell>
          <cell r="BA15" t="str">
            <v>lø</v>
          </cell>
          <cell r="BF15" t="str">
            <v>ma</v>
          </cell>
        </row>
        <row r="16">
          <cell r="C16" t="str">
            <v>on</v>
          </cell>
          <cell r="H16" t="str">
            <v>lø</v>
          </cell>
          <cell r="M16" t="str">
            <v>ma</v>
          </cell>
          <cell r="R16" t="str">
            <v>to</v>
          </cell>
          <cell r="W16" t="str">
            <v>lø</v>
          </cell>
          <cell r="AB16" t="str">
            <v>ti</v>
          </cell>
          <cell r="AG16" t="str">
            <v>fr</v>
          </cell>
          <cell r="AL16" t="str">
            <v>lø</v>
          </cell>
          <cell r="AQ16" t="str">
            <v>ti</v>
          </cell>
          <cell r="AV16" t="str">
            <v>to</v>
          </cell>
          <cell r="BA16" t="str">
            <v>sø</v>
          </cell>
          <cell r="BF16" t="str">
            <v>ti</v>
          </cell>
        </row>
        <row r="17">
          <cell r="C17" t="str">
            <v>to</v>
          </cell>
          <cell r="H17" t="str">
            <v>sø</v>
          </cell>
          <cell r="M17" t="str">
            <v>ti</v>
          </cell>
          <cell r="R17" t="str">
            <v>fr</v>
          </cell>
          <cell r="W17" t="str">
            <v>sø</v>
          </cell>
          <cell r="AB17" t="str">
            <v>on</v>
          </cell>
          <cell r="AG17" t="str">
            <v>lø</v>
          </cell>
          <cell r="AL17" t="str">
            <v>sø</v>
          </cell>
          <cell r="AQ17" t="str">
            <v>on</v>
          </cell>
          <cell r="AV17" t="str">
            <v>fr</v>
          </cell>
          <cell r="BA17" t="str">
            <v>ma</v>
          </cell>
          <cell r="BF17" t="str">
            <v>on</v>
          </cell>
        </row>
        <row r="18">
          <cell r="C18" t="str">
            <v>fr</v>
          </cell>
          <cell r="H18" t="str">
            <v>ma</v>
          </cell>
          <cell r="M18" t="str">
            <v>on</v>
          </cell>
          <cell r="R18" t="str">
            <v>lø</v>
          </cell>
          <cell r="W18" t="str">
            <v>ma</v>
          </cell>
          <cell r="AB18" t="str">
            <v>to</v>
          </cell>
          <cell r="AG18" t="str">
            <v>sø</v>
          </cell>
          <cell r="AL18" t="str">
            <v>ma</v>
          </cell>
          <cell r="AQ18" t="str">
            <v>to</v>
          </cell>
          <cell r="AV18" t="str">
            <v>lø</v>
          </cell>
          <cell r="BA18" t="str">
            <v>ti</v>
          </cell>
          <cell r="BF18" t="str">
            <v>to</v>
          </cell>
        </row>
        <row r="19">
          <cell r="C19" t="str">
            <v>lø</v>
          </cell>
          <cell r="H19" t="str">
            <v>ti</v>
          </cell>
          <cell r="M19" t="str">
            <v>to</v>
          </cell>
          <cell r="R19" t="str">
            <v>sø</v>
          </cell>
          <cell r="W19" t="str">
            <v>ti</v>
          </cell>
          <cell r="AB19" t="str">
            <v>fr</v>
          </cell>
          <cell r="AG19" t="str">
            <v>ma</v>
          </cell>
          <cell r="AL19" t="str">
            <v>ti</v>
          </cell>
          <cell r="AQ19" t="str">
            <v>fr</v>
          </cell>
          <cell r="AV19" t="str">
            <v>sø</v>
          </cell>
          <cell r="BA19" t="str">
            <v>on</v>
          </cell>
          <cell r="BF19" t="str">
            <v>fr</v>
          </cell>
        </row>
        <row r="20">
          <cell r="C20" t="str">
            <v>sø</v>
          </cell>
          <cell r="H20" t="str">
            <v>on</v>
          </cell>
          <cell r="M20" t="str">
            <v>fr</v>
          </cell>
          <cell r="R20" t="str">
            <v>ma</v>
          </cell>
          <cell r="W20" t="str">
            <v>on</v>
          </cell>
          <cell r="AB20" t="str">
            <v>lø</v>
          </cell>
          <cell r="AG20" t="str">
            <v>ti</v>
          </cell>
          <cell r="AL20" t="str">
            <v>on</v>
          </cell>
          <cell r="AQ20" t="str">
            <v>lø</v>
          </cell>
          <cell r="AV20" t="str">
            <v>ma</v>
          </cell>
          <cell r="BA20" t="str">
            <v>to</v>
          </cell>
          <cell r="BF20" t="str">
            <v>lø</v>
          </cell>
        </row>
        <row r="21">
          <cell r="C21" t="str">
            <v>ma</v>
          </cell>
          <cell r="H21" t="str">
            <v>to</v>
          </cell>
          <cell r="M21" t="str">
            <v>lø</v>
          </cell>
          <cell r="R21" t="str">
            <v>ti</v>
          </cell>
          <cell r="W21" t="str">
            <v>to</v>
          </cell>
          <cell r="AB21" t="str">
            <v>sø</v>
          </cell>
          <cell r="AG21" t="str">
            <v>on</v>
          </cell>
          <cell r="AL21" t="str">
            <v>to</v>
          </cell>
          <cell r="AQ21" t="str">
            <v>sø</v>
          </cell>
          <cell r="AV21" t="str">
            <v>ti</v>
          </cell>
          <cell r="BA21" t="str">
            <v>fr</v>
          </cell>
          <cell r="BF21" t="str">
            <v>sø</v>
          </cell>
        </row>
        <row r="22">
          <cell r="C22" t="str">
            <v>ti</v>
          </cell>
          <cell r="H22" t="str">
            <v>fr</v>
          </cell>
          <cell r="M22" t="str">
            <v>sø</v>
          </cell>
          <cell r="R22" t="str">
            <v>on</v>
          </cell>
          <cell r="W22" t="str">
            <v>fr</v>
          </cell>
          <cell r="AB22" t="str">
            <v>ma</v>
          </cell>
          <cell r="AG22" t="str">
            <v>to</v>
          </cell>
          <cell r="AL22" t="str">
            <v>fr</v>
          </cell>
          <cell r="AQ22" t="str">
            <v>ma</v>
          </cell>
          <cell r="AV22" t="str">
            <v>on</v>
          </cell>
          <cell r="BA22" t="str">
            <v>lø</v>
          </cell>
          <cell r="BF22" t="str">
            <v>ma</v>
          </cell>
        </row>
        <row r="23">
          <cell r="C23" t="str">
            <v>on</v>
          </cell>
          <cell r="H23" t="str">
            <v>lø</v>
          </cell>
          <cell r="M23" t="str">
            <v>ma</v>
          </cell>
          <cell r="R23" t="str">
            <v>to</v>
          </cell>
          <cell r="W23" t="str">
            <v>lø</v>
          </cell>
          <cell r="AB23" t="str">
            <v>ti</v>
          </cell>
          <cell r="AG23" t="str">
            <v>fr</v>
          </cell>
          <cell r="AL23" t="str">
            <v>lø</v>
          </cell>
          <cell r="AQ23" t="str">
            <v>ti</v>
          </cell>
          <cell r="AV23" t="str">
            <v>to</v>
          </cell>
          <cell r="BA23" t="str">
            <v>sø</v>
          </cell>
          <cell r="BF23" t="str">
            <v>ti</v>
          </cell>
        </row>
        <row r="24">
          <cell r="C24" t="str">
            <v>to</v>
          </cell>
          <cell r="H24" t="str">
            <v>sø</v>
          </cell>
          <cell r="M24" t="str">
            <v>ti</v>
          </cell>
          <cell r="R24" t="str">
            <v>fr</v>
          </cell>
          <cell r="W24" t="str">
            <v>sø</v>
          </cell>
          <cell r="AB24" t="str">
            <v>on</v>
          </cell>
          <cell r="AG24" t="str">
            <v>lø</v>
          </cell>
          <cell r="AL24" t="str">
            <v>sø</v>
          </cell>
          <cell r="AQ24" t="str">
            <v>on</v>
          </cell>
          <cell r="AV24" t="str">
            <v>fr</v>
          </cell>
          <cell r="BA24" t="str">
            <v>ma</v>
          </cell>
          <cell r="BF24" t="str">
            <v>on</v>
          </cell>
        </row>
        <row r="25">
          <cell r="C25" t="str">
            <v>fr</v>
          </cell>
          <cell r="H25" t="str">
            <v>ma</v>
          </cell>
          <cell r="M25" t="str">
            <v>on</v>
          </cell>
          <cell r="R25" t="str">
            <v>lø</v>
          </cell>
          <cell r="W25" t="str">
            <v>ma</v>
          </cell>
          <cell r="AB25" t="str">
            <v>to</v>
          </cell>
          <cell r="AG25" t="str">
            <v>sø</v>
          </cell>
          <cell r="AL25" t="str">
            <v>ma</v>
          </cell>
          <cell r="AQ25" t="str">
            <v>to</v>
          </cell>
          <cell r="AV25" t="str">
            <v>lø</v>
          </cell>
          <cell r="BA25" t="str">
            <v>ti</v>
          </cell>
          <cell r="BF25" t="str">
            <v>to</v>
          </cell>
        </row>
        <row r="26">
          <cell r="C26" t="str">
            <v>lø</v>
          </cell>
          <cell r="H26" t="str">
            <v>ti</v>
          </cell>
          <cell r="M26" t="str">
            <v>to</v>
          </cell>
          <cell r="R26" t="str">
            <v>sø</v>
          </cell>
          <cell r="W26" t="str">
            <v>ti</v>
          </cell>
          <cell r="AB26" t="str">
            <v>fr</v>
          </cell>
          <cell r="AG26" t="str">
            <v>ma</v>
          </cell>
          <cell r="AL26" t="str">
            <v>ti</v>
          </cell>
          <cell r="AQ26" t="str">
            <v>fr</v>
          </cell>
          <cell r="AV26" t="str">
            <v>sø</v>
          </cell>
          <cell r="BA26" t="str">
            <v>on</v>
          </cell>
          <cell r="BF26" t="str">
            <v>fr</v>
          </cell>
        </row>
        <row r="27">
          <cell r="C27" t="str">
            <v>sø</v>
          </cell>
          <cell r="H27" t="str">
            <v>on</v>
          </cell>
          <cell r="M27" t="str">
            <v>fr</v>
          </cell>
          <cell r="R27" t="str">
            <v>ma</v>
          </cell>
          <cell r="W27" t="str">
            <v>on</v>
          </cell>
          <cell r="AB27" t="str">
            <v>lø</v>
          </cell>
          <cell r="AG27" t="str">
            <v>ti</v>
          </cell>
          <cell r="AL27" t="str">
            <v>on</v>
          </cell>
          <cell r="AQ27" t="str">
            <v>lø</v>
          </cell>
          <cell r="AV27" t="str">
            <v>ma</v>
          </cell>
          <cell r="BA27" t="str">
            <v>to</v>
          </cell>
          <cell r="BF27" t="str">
            <v>lø</v>
          </cell>
        </row>
        <row r="28">
          <cell r="C28" t="str">
            <v>ma</v>
          </cell>
          <cell r="H28" t="str">
            <v>to</v>
          </cell>
          <cell r="M28" t="str">
            <v>lø</v>
          </cell>
          <cell r="R28" t="str">
            <v>ti</v>
          </cell>
          <cell r="W28" t="str">
            <v>to</v>
          </cell>
          <cell r="AB28" t="str">
            <v>sø</v>
          </cell>
          <cell r="AG28" t="str">
            <v>on</v>
          </cell>
          <cell r="AL28" t="str">
            <v>to</v>
          </cell>
          <cell r="AQ28" t="str">
            <v>sø</v>
          </cell>
          <cell r="AV28" t="str">
            <v>ti</v>
          </cell>
          <cell r="BA28" t="str">
            <v>fr</v>
          </cell>
          <cell r="BF28" t="str">
            <v>sø</v>
          </cell>
        </row>
        <row r="29">
          <cell r="C29" t="str">
            <v>ti</v>
          </cell>
          <cell r="H29" t="str">
            <v>fr</v>
          </cell>
          <cell r="M29" t="str">
            <v>sø</v>
          </cell>
          <cell r="R29" t="str">
            <v>on</v>
          </cell>
          <cell r="W29" t="str">
            <v>fr</v>
          </cell>
          <cell r="AB29" t="str">
            <v>ma</v>
          </cell>
          <cell r="AG29" t="str">
            <v>to</v>
          </cell>
          <cell r="AL29" t="str">
            <v>fr</v>
          </cell>
          <cell r="AQ29" t="str">
            <v>ma</v>
          </cell>
          <cell r="AV29" t="str">
            <v>on</v>
          </cell>
          <cell r="BA29" t="str">
            <v>lø</v>
          </cell>
          <cell r="BF29" t="str">
            <v>ma</v>
          </cell>
        </row>
        <row r="30">
          <cell r="C30" t="str">
            <v>on</v>
          </cell>
          <cell r="H30" t="str">
            <v>lø</v>
          </cell>
          <cell r="M30" t="str">
            <v>ma</v>
          </cell>
          <cell r="R30" t="str">
            <v>to</v>
          </cell>
          <cell r="W30" t="str">
            <v>lø</v>
          </cell>
          <cell r="AB30" t="str">
            <v>ti</v>
          </cell>
          <cell r="AG30" t="str">
            <v>fr</v>
          </cell>
          <cell r="AL30" t="str">
            <v>lø</v>
          </cell>
          <cell r="AQ30" t="str">
            <v>ti</v>
          </cell>
          <cell r="AV30" t="str">
            <v>to</v>
          </cell>
          <cell r="BA30" t="str">
            <v>sø</v>
          </cell>
          <cell r="BF30" t="str">
            <v>ti</v>
          </cell>
        </row>
        <row r="31">
          <cell r="C31" t="str">
            <v>to</v>
          </cell>
          <cell r="H31" t="str">
            <v>sø</v>
          </cell>
          <cell r="M31" t="str">
            <v>ti</v>
          </cell>
          <cell r="R31" t="str">
            <v>fr</v>
          </cell>
          <cell r="W31" t="str">
            <v>sø</v>
          </cell>
          <cell r="AB31" t="str">
            <v>on</v>
          </cell>
          <cell r="AG31" t="str">
            <v>lø</v>
          </cell>
          <cell r="AL31" t="str">
            <v>sø</v>
          </cell>
          <cell r="AQ31" t="str">
            <v>on</v>
          </cell>
          <cell r="AV31" t="str">
            <v>fr</v>
          </cell>
          <cell r="BA31" t="str">
            <v>ma</v>
          </cell>
          <cell r="BF31" t="str">
            <v>on</v>
          </cell>
        </row>
        <row r="32">
          <cell r="C32" t="str">
            <v>fr</v>
          </cell>
          <cell r="H32" t="str">
            <v>ma</v>
          </cell>
          <cell r="M32" t="str">
            <v>on</v>
          </cell>
          <cell r="R32" t="str">
            <v>lø</v>
          </cell>
          <cell r="W32" t="str">
            <v>ma</v>
          </cell>
          <cell r="AB32" t="str">
            <v>to</v>
          </cell>
          <cell r="AG32" t="str">
            <v>sø</v>
          </cell>
          <cell r="AL32" t="str">
            <v>ma</v>
          </cell>
          <cell r="AQ32" t="str">
            <v>to</v>
          </cell>
          <cell r="AV32" t="str">
            <v>lø</v>
          </cell>
          <cell r="BA32" t="str">
            <v>ti</v>
          </cell>
          <cell r="BF32" t="str">
            <v>to</v>
          </cell>
        </row>
        <row r="33">
          <cell r="C33" t="str">
            <v>lø</v>
          </cell>
          <cell r="H33" t="str">
            <v>ti</v>
          </cell>
          <cell r="M33" t="str">
            <v>to</v>
          </cell>
          <cell r="R33" t="str">
            <v>sø</v>
          </cell>
          <cell r="W33" t="str">
            <v>ti</v>
          </cell>
          <cell r="AB33" t="str">
            <v>fr</v>
          </cell>
          <cell r="AG33" t="str">
            <v>ma</v>
          </cell>
          <cell r="AL33" t="str">
            <v>ti</v>
          </cell>
          <cell r="AQ33" t="str">
            <v>fr</v>
          </cell>
          <cell r="AV33" t="str">
            <v>sø</v>
          </cell>
          <cell r="BA33" t="str">
            <v>on</v>
          </cell>
          <cell r="BF33" t="str">
            <v>fr</v>
          </cell>
        </row>
        <row r="34">
          <cell r="C34" t="str">
            <v>sø</v>
          </cell>
          <cell r="H34" t="str">
            <v>on</v>
          </cell>
          <cell r="M34" t="str">
            <v>fr</v>
          </cell>
          <cell r="R34" t="str">
            <v>ma</v>
          </cell>
          <cell r="W34" t="str">
            <v>on</v>
          </cell>
          <cell r="AB34" t="str">
            <v>lø</v>
          </cell>
          <cell r="AL34" t="str">
            <v>on</v>
          </cell>
          <cell r="AQ34" t="str">
            <v>lø</v>
          </cell>
          <cell r="AV34" t="str">
            <v>ma</v>
          </cell>
          <cell r="BA34" t="str">
            <v>to</v>
          </cell>
          <cell r="BF34" t="str">
            <v>lø</v>
          </cell>
        </row>
        <row r="35">
          <cell r="C35" t="str">
            <v>ma</v>
          </cell>
          <cell r="M35" t="str">
            <v>sø</v>
          </cell>
          <cell r="W35" t="str">
            <v>to</v>
          </cell>
          <cell r="AB35" t="str">
            <v>sø</v>
          </cell>
          <cell r="AL35" t="str">
            <v>to</v>
          </cell>
          <cell r="AV35" t="str">
            <v>ti</v>
          </cell>
          <cell r="BF35" t="str">
            <v>sø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Kontor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M124"/>
  <sheetViews>
    <sheetView showGridLines="0" showOutlineSymbols="0" topLeftCell="AI1" zoomScale="75" workbookViewId="0">
      <pane ySplit="4" topLeftCell="A5" activePane="bottomLeft" state="frozenSplit"/>
      <selection activeCell="F22" sqref="F22"/>
      <selection pane="bottomLeft" activeCell="AO12" sqref="AO12:AQ12"/>
    </sheetView>
  </sheetViews>
  <sheetFormatPr defaultColWidth="11.5" defaultRowHeight="12.75" outlineLevelCol="1" x14ac:dyDescent="0.2"/>
  <cols>
    <col min="1" max="1" width="27.625" style="30" customWidth="1"/>
    <col min="2" max="2" width="3.375" style="30" customWidth="1"/>
    <col min="3" max="3" width="4.625" style="30" customWidth="1"/>
    <col min="4" max="4" width="10.125" style="30" customWidth="1"/>
    <col min="5" max="5" width="3.125" style="30" customWidth="1"/>
    <col min="6" max="6" width="32.875" style="30" customWidth="1" outlineLevel="1"/>
    <col min="7" max="7" width="15.5" style="30" customWidth="1" outlineLevel="1"/>
    <col min="8" max="8" width="11.875" style="30" customWidth="1" outlineLevel="1"/>
    <col min="9" max="9" width="3.375" style="30" customWidth="1"/>
    <col min="10" max="10" width="4.625" style="30" customWidth="1"/>
    <col min="11" max="11" width="9" style="30" customWidth="1"/>
    <col min="12" max="12" width="2.875" style="30" customWidth="1"/>
    <col min="13" max="13" width="32.875" style="30" customWidth="1" outlineLevel="1"/>
    <col min="14" max="14" width="15.5" style="30" customWidth="1" outlineLevel="1"/>
    <col min="15" max="15" width="11.875" style="30" customWidth="1" outlineLevel="1"/>
    <col min="16" max="16" width="3.375" style="30" customWidth="1"/>
    <col min="17" max="17" width="4.625" style="30" customWidth="1"/>
    <col min="18" max="18" width="9" style="30" customWidth="1"/>
    <col min="19" max="19" width="2.875" style="30" customWidth="1"/>
    <col min="20" max="20" width="32.625" style="30" customWidth="1" outlineLevel="1"/>
    <col min="21" max="21" width="15.5" style="30" customWidth="1" outlineLevel="1"/>
    <col min="22" max="22" width="11.875" style="30" customWidth="1" outlineLevel="1"/>
    <col min="23" max="23" width="3.375" style="30" customWidth="1"/>
    <col min="24" max="24" width="4.625" style="30" customWidth="1"/>
    <col min="25" max="25" width="9" style="30" customWidth="1"/>
    <col min="26" max="26" width="2.875" style="30" customWidth="1"/>
    <col min="27" max="27" width="32.875" style="30" customWidth="1" outlineLevel="1"/>
    <col min="28" max="28" width="15.5" style="30" customWidth="1" outlineLevel="1"/>
    <col min="29" max="29" width="11.875" style="30" customWidth="1" outlineLevel="1"/>
    <col min="30" max="30" width="3.375" style="30" customWidth="1"/>
    <col min="31" max="31" width="4.625" style="30" customWidth="1"/>
    <col min="32" max="32" width="9" style="30" customWidth="1"/>
    <col min="33" max="33" width="3.125" style="30" customWidth="1"/>
    <col min="34" max="34" width="32.625" style="30" customWidth="1" outlineLevel="1"/>
    <col min="35" max="35" width="15.5" style="30" customWidth="1" outlineLevel="1"/>
    <col min="36" max="36" width="11.875" style="30" customWidth="1" outlineLevel="1"/>
    <col min="37" max="37" width="3.375" style="30" customWidth="1"/>
    <col min="38" max="38" width="4.625" style="30" customWidth="1"/>
    <col min="39" max="39" width="9" style="30" customWidth="1"/>
    <col min="40" max="40" width="2.875" style="31" customWidth="1"/>
    <col min="41" max="41" width="32.875" style="30" customWidth="1" outlineLevel="1"/>
    <col min="42" max="42" width="15.5" style="30" customWidth="1" outlineLevel="1"/>
    <col min="43" max="43" width="11.875" style="30" customWidth="1" outlineLevel="1"/>
    <col min="44" max="44" width="3.375" style="30" customWidth="1"/>
    <col min="45" max="45" width="4.625" style="30" customWidth="1"/>
    <col min="46" max="46" width="9" style="30" customWidth="1"/>
    <col min="47" max="47" width="3.625" style="31" customWidth="1"/>
    <col min="48" max="48" width="32.625" style="30" customWidth="1" outlineLevel="1"/>
    <col min="49" max="49" width="15.5" style="30" customWidth="1" outlineLevel="1"/>
    <col min="50" max="50" width="11.875" style="30" customWidth="1" outlineLevel="1"/>
    <col min="51" max="51" width="3.375" style="30" customWidth="1"/>
    <col min="52" max="52" width="4.625" style="30" customWidth="1"/>
    <col min="53" max="53" width="9" style="30" customWidth="1"/>
    <col min="54" max="54" width="2.875" style="31" customWidth="1"/>
    <col min="55" max="55" width="32.625" style="30" customWidth="1" outlineLevel="1"/>
    <col min="56" max="56" width="15.5" style="30" customWidth="1" outlineLevel="1"/>
    <col min="57" max="57" width="11.875" style="30" customWidth="1" outlineLevel="1"/>
    <col min="58" max="58" width="3.375" style="30" customWidth="1"/>
    <col min="59" max="59" width="4.625" style="30" customWidth="1"/>
    <col min="60" max="60" width="9" style="30" customWidth="1"/>
    <col min="61" max="61" width="2.875" style="30" customWidth="1"/>
    <col min="62" max="62" width="32.625" style="30" customWidth="1" outlineLevel="1"/>
    <col min="63" max="63" width="15.5" style="30" customWidth="1" outlineLevel="1"/>
    <col min="64" max="64" width="11.875" style="30" customWidth="1" outlineLevel="1"/>
    <col min="65" max="65" width="3.375" style="30" customWidth="1"/>
    <col min="66" max="66" width="4.625" style="30" customWidth="1"/>
    <col min="67" max="67" width="9" style="30" customWidth="1"/>
    <col min="68" max="68" width="2.875" style="30" customWidth="1"/>
    <col min="69" max="69" width="32.625" style="30" customWidth="1" outlineLevel="1"/>
    <col min="70" max="70" width="15.5" style="30" customWidth="1" outlineLevel="1"/>
    <col min="71" max="71" width="11.875" style="30" customWidth="1" outlineLevel="1"/>
    <col min="72" max="72" width="3.375" style="30" customWidth="1"/>
    <col min="73" max="73" width="4.625" style="30" customWidth="1"/>
    <col min="74" max="74" width="9" style="30" customWidth="1"/>
    <col min="75" max="75" width="2.875" style="30" customWidth="1"/>
    <col min="76" max="76" width="32.625" style="30" customWidth="1" outlineLevel="1"/>
    <col min="77" max="77" width="15.5" style="30" customWidth="1" outlineLevel="1"/>
    <col min="78" max="78" width="11.875" style="30" customWidth="1" outlineLevel="1"/>
    <col min="79" max="79" width="3.375" style="30" customWidth="1"/>
    <col min="80" max="80" width="4.625" style="30" customWidth="1"/>
    <col min="81" max="81" width="9" style="30" customWidth="1"/>
    <col min="82" max="82" width="2.875" style="30" customWidth="1"/>
    <col min="83" max="83" width="32.625" style="30" customWidth="1" outlineLevel="1"/>
    <col min="84" max="84" width="15.5" style="30" customWidth="1" outlineLevel="1"/>
    <col min="85" max="85" width="11.875" style="30" customWidth="1" outlineLevel="1"/>
    <col min="86" max="86" width="1.625" style="30" customWidth="1" outlineLevel="1"/>
    <col min="87" max="87" width="19.875" style="30" customWidth="1"/>
    <col min="88" max="88" width="5.625" style="30" customWidth="1"/>
    <col min="89" max="16384" width="11.5" style="30"/>
  </cols>
  <sheetData>
    <row r="1" spans="1:90" ht="15" customHeight="1" x14ac:dyDescent="0.25">
      <c r="A1" s="77" t="s">
        <v>78</v>
      </c>
      <c r="B1" s="51" t="str">
        <f>"Månedsplan for "&amp;A1</f>
        <v>Månedsplan for Min egen skole</v>
      </c>
      <c r="I1" s="51" t="str">
        <f>$B$1</f>
        <v>Månedsplan for Min egen skole</v>
      </c>
      <c r="P1" s="51" t="str">
        <f>$B$1</f>
        <v>Månedsplan for Min egen skole</v>
      </c>
      <c r="W1" s="51" t="str">
        <f>$B$1</f>
        <v>Månedsplan for Min egen skole</v>
      </c>
      <c r="AD1" s="51" t="str">
        <f>$B$1</f>
        <v>Månedsplan for Min egen skole</v>
      </c>
      <c r="AK1" s="51" t="str">
        <f>$B$1</f>
        <v>Månedsplan for Min egen skole</v>
      </c>
      <c r="AN1" s="30"/>
      <c r="AR1" s="51" t="str">
        <f>$B$1</f>
        <v>Månedsplan for Min egen skole</v>
      </c>
      <c r="AU1" s="30"/>
      <c r="AY1" s="51" t="str">
        <f>$B$1</f>
        <v>Månedsplan for Min egen skole</v>
      </c>
      <c r="BB1" s="30"/>
      <c r="BF1" s="51" t="str">
        <f>$B$1</f>
        <v>Månedsplan for Min egen skole</v>
      </c>
      <c r="BM1" s="51" t="str">
        <f>$B$1</f>
        <v>Månedsplan for Min egen skole</v>
      </c>
      <c r="BT1" s="51" t="str">
        <f>$B$1</f>
        <v>Månedsplan for Min egen skole</v>
      </c>
      <c r="CA1" s="51" t="str">
        <f>$B$1</f>
        <v>Månedsplan for Min egen skole</v>
      </c>
    </row>
    <row r="2" spans="1:90" ht="15" customHeight="1" x14ac:dyDescent="0.25">
      <c r="A2" s="54"/>
      <c r="B2" s="106">
        <v>8</v>
      </c>
      <c r="C2" s="52" t="s">
        <v>143</v>
      </c>
      <c r="D2" s="52"/>
      <c r="E2" s="106">
        <v>31</v>
      </c>
      <c r="F2" s="107">
        <v>261</v>
      </c>
      <c r="I2" s="50">
        <v>9</v>
      </c>
      <c r="P2" s="50">
        <v>10</v>
      </c>
      <c r="W2" s="50">
        <v>11</v>
      </c>
      <c r="AD2" s="50">
        <v>12</v>
      </c>
      <c r="AK2" s="50">
        <v>1</v>
      </c>
      <c r="AN2" s="30"/>
      <c r="AR2" s="50">
        <v>2</v>
      </c>
      <c r="AU2" s="30"/>
      <c r="AY2" s="50">
        <v>3</v>
      </c>
      <c r="BB2" s="30"/>
      <c r="BF2" s="50">
        <v>4</v>
      </c>
      <c r="BM2" s="50">
        <v>5</v>
      </c>
      <c r="BT2" s="50">
        <v>6</v>
      </c>
      <c r="CA2" s="50">
        <v>7</v>
      </c>
    </row>
    <row r="3" spans="1:90" ht="15" customHeight="1" x14ac:dyDescent="0.25">
      <c r="A3" s="108">
        <v>2024</v>
      </c>
      <c r="B3" s="49">
        <f>A3</f>
        <v>2024</v>
      </c>
      <c r="C3" s="199"/>
      <c r="D3" s="200"/>
      <c r="E3" s="201"/>
      <c r="F3" s="248" t="s">
        <v>74</v>
      </c>
      <c r="G3" s="249"/>
      <c r="H3" s="250"/>
      <c r="I3" s="202">
        <f>B3</f>
        <v>2024</v>
      </c>
      <c r="J3" s="203"/>
      <c r="K3" s="200"/>
      <c r="L3" s="201"/>
      <c r="M3" s="248" t="s">
        <v>74</v>
      </c>
      <c r="N3" s="249"/>
      <c r="O3" s="250"/>
      <c r="P3" s="202">
        <f>I3</f>
        <v>2024</v>
      </c>
      <c r="Q3" s="203"/>
      <c r="R3" s="200"/>
      <c r="S3" s="201"/>
      <c r="T3" s="248" t="s">
        <v>74</v>
      </c>
      <c r="U3" s="249"/>
      <c r="V3" s="250"/>
      <c r="W3" s="202">
        <f>P3</f>
        <v>2024</v>
      </c>
      <c r="X3" s="203"/>
      <c r="Y3" s="200"/>
      <c r="Z3" s="201"/>
      <c r="AA3" s="248" t="s">
        <v>74</v>
      </c>
      <c r="AB3" s="249"/>
      <c r="AC3" s="250"/>
      <c r="AD3" s="202">
        <f>W3</f>
        <v>2024</v>
      </c>
      <c r="AE3" s="203"/>
      <c r="AF3" s="200"/>
      <c r="AG3" s="201"/>
      <c r="AH3" s="248" t="s">
        <v>74</v>
      </c>
      <c r="AI3" s="249"/>
      <c r="AJ3" s="250"/>
      <c r="AK3" s="202">
        <f>AD3+1</f>
        <v>2025</v>
      </c>
      <c r="AL3" s="203"/>
      <c r="AM3" s="200"/>
      <c r="AN3" s="201"/>
      <c r="AO3" s="204"/>
      <c r="AP3" s="205"/>
      <c r="AQ3" s="206"/>
      <c r="AR3" s="202">
        <f>$AK3</f>
        <v>2025</v>
      </c>
      <c r="AS3" s="203"/>
      <c r="AT3" s="200"/>
      <c r="AU3" s="201"/>
      <c r="AV3" s="204"/>
      <c r="AW3" s="205"/>
      <c r="AX3" s="206"/>
      <c r="AY3" s="202">
        <f>$AK3</f>
        <v>2025</v>
      </c>
      <c r="AZ3" s="203"/>
      <c r="BA3" s="200"/>
      <c r="BB3" s="201"/>
      <c r="BC3" s="204"/>
      <c r="BD3" s="205"/>
      <c r="BE3" s="206"/>
      <c r="BF3" s="202">
        <f>$AK3</f>
        <v>2025</v>
      </c>
      <c r="BG3" s="203"/>
      <c r="BH3" s="200"/>
      <c r="BI3" s="201"/>
      <c r="BJ3" s="204"/>
      <c r="BK3" s="205"/>
      <c r="BL3" s="206"/>
      <c r="BM3" s="202">
        <f>$AK3</f>
        <v>2025</v>
      </c>
      <c r="BN3" s="203"/>
      <c r="BO3" s="200"/>
      <c r="BP3" s="201"/>
      <c r="BQ3" s="204"/>
      <c r="BR3" s="205"/>
      <c r="BS3" s="206"/>
      <c r="BT3" s="202">
        <f>$AK3</f>
        <v>2025</v>
      </c>
      <c r="BU3" s="203"/>
      <c r="BV3" s="200"/>
      <c r="BW3" s="201"/>
      <c r="BX3" s="204"/>
      <c r="BY3" s="205"/>
      <c r="BZ3" s="206"/>
      <c r="CA3" s="202">
        <f>$AK3</f>
        <v>2025</v>
      </c>
      <c r="CB3" s="199"/>
      <c r="CC3" s="200"/>
      <c r="CD3" s="201"/>
      <c r="CE3" s="248" t="s">
        <v>74</v>
      </c>
      <c r="CF3" s="249"/>
      <c r="CG3" s="250"/>
      <c r="CH3" s="74"/>
    </row>
    <row r="4" spans="1:90" ht="18" x14ac:dyDescent="0.25">
      <c r="A4" s="117" t="s">
        <v>148</v>
      </c>
      <c r="B4" s="48" t="s">
        <v>46</v>
      </c>
      <c r="C4" s="207"/>
      <c r="D4" s="208"/>
      <c r="E4" s="209"/>
      <c r="F4" s="251"/>
      <c r="G4" s="252"/>
      <c r="H4" s="253"/>
      <c r="I4" s="210" t="s">
        <v>47</v>
      </c>
      <c r="J4" s="211"/>
      <c r="K4" s="208"/>
      <c r="L4" s="209"/>
      <c r="M4" s="251"/>
      <c r="N4" s="252"/>
      <c r="O4" s="253"/>
      <c r="P4" s="210" t="s">
        <v>48</v>
      </c>
      <c r="Q4" s="211"/>
      <c r="R4" s="208"/>
      <c r="S4" s="209"/>
      <c r="T4" s="251"/>
      <c r="U4" s="252"/>
      <c r="V4" s="253"/>
      <c r="W4" s="210" t="s">
        <v>49</v>
      </c>
      <c r="X4" s="211"/>
      <c r="Y4" s="208"/>
      <c r="Z4" s="209"/>
      <c r="AA4" s="251"/>
      <c r="AB4" s="252"/>
      <c r="AC4" s="253"/>
      <c r="AD4" s="210" t="s">
        <v>50</v>
      </c>
      <c r="AE4" s="211"/>
      <c r="AF4" s="208"/>
      <c r="AG4" s="209"/>
      <c r="AH4" s="251"/>
      <c r="AI4" s="252"/>
      <c r="AJ4" s="253"/>
      <c r="AK4" s="210" t="s">
        <v>51</v>
      </c>
      <c r="AL4" s="211"/>
      <c r="AM4" s="208"/>
      <c r="AN4" s="209"/>
      <c r="AO4" s="212" t="s">
        <v>74</v>
      </c>
      <c r="AP4" s="213"/>
      <c r="AQ4" s="214"/>
      <c r="AR4" s="210" t="s">
        <v>54</v>
      </c>
      <c r="AS4" s="211"/>
      <c r="AT4" s="208"/>
      <c r="AU4" s="209"/>
      <c r="AV4" s="212" t="s">
        <v>74</v>
      </c>
      <c r="AW4" s="213"/>
      <c r="AX4" s="214"/>
      <c r="AY4" s="210" t="s">
        <v>55</v>
      </c>
      <c r="AZ4" s="211"/>
      <c r="BA4" s="208"/>
      <c r="BB4" s="209"/>
      <c r="BC4" s="212" t="s">
        <v>74</v>
      </c>
      <c r="BD4" s="213"/>
      <c r="BE4" s="214"/>
      <c r="BF4" s="210" t="s">
        <v>56</v>
      </c>
      <c r="BG4" s="211"/>
      <c r="BH4" s="208"/>
      <c r="BI4" s="209"/>
      <c r="BJ4" s="212" t="s">
        <v>74</v>
      </c>
      <c r="BK4" s="213"/>
      <c r="BL4" s="214"/>
      <c r="BM4" s="210" t="s">
        <v>57</v>
      </c>
      <c r="BN4" s="211"/>
      <c r="BO4" s="208"/>
      <c r="BP4" s="209"/>
      <c r="BQ4" s="212" t="s">
        <v>74</v>
      </c>
      <c r="BR4" s="213"/>
      <c r="BS4" s="214"/>
      <c r="BT4" s="210" t="s">
        <v>58</v>
      </c>
      <c r="BU4" s="211"/>
      <c r="BV4" s="208"/>
      <c r="BW4" s="209"/>
      <c r="BX4" s="212" t="s">
        <v>74</v>
      </c>
      <c r="BY4" s="213"/>
      <c r="BZ4" s="214"/>
      <c r="CA4" s="210" t="s">
        <v>59</v>
      </c>
      <c r="CB4" s="207"/>
      <c r="CC4" s="208"/>
      <c r="CD4" s="209"/>
      <c r="CE4" s="251"/>
      <c r="CF4" s="252"/>
      <c r="CG4" s="253"/>
      <c r="CH4" s="74"/>
    </row>
    <row r="5" spans="1:90" ht="18" customHeight="1" x14ac:dyDescent="0.25">
      <c r="A5" s="116" t="s">
        <v>147</v>
      </c>
      <c r="B5" s="55">
        <f>IF(ISNUMBER(B4),B4+1,1)</f>
        <v>1</v>
      </c>
      <c r="C5" s="56" t="str">
        <f>CHOOSE(MOD(WEEKDAY(DATE(B$3,B$2,B5)),7)+1,"lø","sø","ma","ti","on","to","fr",)</f>
        <v>to</v>
      </c>
      <c r="D5" s="57" t="s">
        <v>132</v>
      </c>
      <c r="E5" s="58" t="str">
        <f>IF(C5="ma",(DATE(B$3,B$2,B5)-DATE(B$3,1,1)+7)/7,"")</f>
        <v/>
      </c>
      <c r="F5" s="238" t="s">
        <v>69</v>
      </c>
      <c r="G5" s="239"/>
      <c r="H5" s="240"/>
      <c r="I5" s="55">
        <f>IF(ISNUMBER(I4),I4+1,1)</f>
        <v>1</v>
      </c>
      <c r="J5" s="56" t="str">
        <f>CHOOSE(MOD(WEEKDAY(DATE(I$3,I$2,I5)),7)+1,"lø","sø","ma","ti","on","to","fr",)</f>
        <v>sø</v>
      </c>
      <c r="K5" s="57" t="s">
        <v>77</v>
      </c>
      <c r="L5" s="58" t="str">
        <f>IF(J5="ma",(DATE(I$3,I$2,I5)-DATE(I$3,1,1)+7)/7,"")</f>
        <v/>
      </c>
      <c r="M5" s="238"/>
      <c r="N5" s="239"/>
      <c r="O5" s="240"/>
      <c r="P5" s="55">
        <f>IF(ISNUMBER(P4),P4+1,1)</f>
        <v>1</v>
      </c>
      <c r="Q5" s="56" t="str">
        <f>CHOOSE(MOD(WEEKDAY(DATE(P$3,P$2,P5)),7)+1,"lø","sø","ma","ti","on","to","fr",)</f>
        <v>ti</v>
      </c>
      <c r="R5" s="57" t="s">
        <v>128</v>
      </c>
      <c r="S5" s="58" t="str">
        <f>IF(Q5="ma",(DATE(P$3,P$2,P5)-DATE(P$3,1,1)+7)/7,"")</f>
        <v/>
      </c>
      <c r="T5" s="238"/>
      <c r="U5" s="239"/>
      <c r="V5" s="240"/>
      <c r="W5" s="55">
        <f>IF(ISNUMBER(W4),W4+1,1)</f>
        <v>1</v>
      </c>
      <c r="X5" s="56" t="str">
        <f>CHOOSE(MOD(WEEKDAY(DATE(W$3,W$2,W5)),7)+1,"lø","sø","ma","ti","on","to","fr",)</f>
        <v>fr</v>
      </c>
      <c r="Y5" s="57" t="s">
        <v>128</v>
      </c>
      <c r="Z5" s="58" t="str">
        <f>IF(X5="ma",(DATE(W$3,W$2,W5)-DATE(W$3,1,1)+7)/7,"")</f>
        <v/>
      </c>
      <c r="AA5" s="238"/>
      <c r="AB5" s="239"/>
      <c r="AC5" s="240"/>
      <c r="AD5" s="55">
        <f>IF(ISNUMBER(AD4),AD4+1,1)</f>
        <v>1</v>
      </c>
      <c r="AE5" s="56" t="str">
        <f>CHOOSE(MOD(WEEKDAY(DATE(AD$3,AD$2,AD5)),7)+1,"lø","sø","ma","ti","on","to","fr",)</f>
        <v>sø</v>
      </c>
      <c r="AF5" s="57" t="s">
        <v>77</v>
      </c>
      <c r="AG5" s="58" t="str">
        <f>IF(AE5="ma",(DATE(AD$3,AD$2,AD5)-DATE(AD$3,1,1)+7)/7,"")</f>
        <v/>
      </c>
      <c r="AH5" s="238"/>
      <c r="AI5" s="239"/>
      <c r="AJ5" s="240"/>
      <c r="AK5" s="55">
        <f>IF(ISNUMBER(AK4),AK4+1,1)</f>
        <v>1</v>
      </c>
      <c r="AL5" s="56" t="str">
        <f>CHOOSE(MOD(WEEKDAY(DATE(AK$3,AK$2,AK5)),7)+1,"lø","sø","ma","ti","on","to","fr",)</f>
        <v>on</v>
      </c>
      <c r="AM5" s="57" t="s">
        <v>76</v>
      </c>
      <c r="AN5" s="58" t="str">
        <f>IF(AL5="ma",(DATE(AK$3,AK$2,AK5)-DATE(AK$3,1,1)+7)/7,"")</f>
        <v/>
      </c>
      <c r="AO5" s="241" t="s">
        <v>87</v>
      </c>
      <c r="AP5" s="242"/>
      <c r="AQ5" s="243"/>
      <c r="AR5" s="55">
        <f>IF(ISNUMBER(AR4),AR4+1,1)</f>
        <v>1</v>
      </c>
      <c r="AS5" s="56" t="str">
        <f>CHOOSE(MOD(WEEKDAY(DATE(AR$3,AR$2,AR5)),7)+1,"lø","sø","ma","ti","on","to","fr",)</f>
        <v>lø</v>
      </c>
      <c r="AT5" s="57" t="s">
        <v>77</v>
      </c>
      <c r="AU5" s="58" t="str">
        <f>IF(AS5="ma",(DATE(AR$3,AR$2,AR5)-DATE(AR$3,1,1)+7)/7,"")</f>
        <v/>
      </c>
      <c r="AV5" s="238"/>
      <c r="AW5" s="239"/>
      <c r="AX5" s="240"/>
      <c r="AY5" s="55">
        <f>IF(ISNUMBER(AY4),AY4+1,1)</f>
        <v>1</v>
      </c>
      <c r="AZ5" s="56" t="str">
        <f>CHOOSE(MOD(WEEKDAY(DATE(AY$3,AY$2,AY5)),7)+1,"lø","sø","ma","ti","on","to","fr",)</f>
        <v>lø</v>
      </c>
      <c r="BA5" s="57" t="s">
        <v>77</v>
      </c>
      <c r="BB5" s="58" t="str">
        <f>IF(AZ5="ma",(DATE(AY$3,AY$2,AY5)-DATE(AY$3,1,1)+7)/7,"")</f>
        <v/>
      </c>
      <c r="BC5" s="257" t="s">
        <v>152</v>
      </c>
      <c r="BD5" s="258"/>
      <c r="BE5" s="259"/>
      <c r="BF5" s="55">
        <f>IF(ISNUMBER(BF4),BF4+1,1)</f>
        <v>1</v>
      </c>
      <c r="BG5" s="56" t="str">
        <f>CHOOSE(MOD(WEEKDAY(DATE(BF$3,BF$2,BF5)),7)+1,"lø","sø","ma","ti","on","to","fr",)</f>
        <v>ti</v>
      </c>
      <c r="BH5" s="57" t="s">
        <v>128</v>
      </c>
      <c r="BI5" s="58" t="str">
        <f>IF(BG5="ma",(DATE(BF$3,BF$2,BF5)-DATE(BF$3,1,1)+7)/7,"")</f>
        <v/>
      </c>
      <c r="BJ5" s="238"/>
      <c r="BK5" s="239"/>
      <c r="BL5" s="240"/>
      <c r="BM5" s="55">
        <f>IF(ISNUMBER(BM4),BM4+1,1)</f>
        <v>1</v>
      </c>
      <c r="BN5" s="56" t="str">
        <f>CHOOSE(MOD(WEEKDAY(DATE(BM$3,BM$2,BM5)),7)+1,"lø","sø","ma","ti","on","to","fr",)</f>
        <v>to</v>
      </c>
      <c r="BO5" s="57" t="s">
        <v>128</v>
      </c>
      <c r="BP5" s="58" t="str">
        <f>IF(BN5="ma",(DATE(BM$3,BM$2,BM5)-DATE(BM$3,1,1)+7)/7,"")</f>
        <v/>
      </c>
      <c r="BQ5" s="238"/>
      <c r="BR5" s="239"/>
      <c r="BS5" s="240"/>
      <c r="BT5" s="55">
        <f>IF(ISNUMBER(BT4),BT4+1,1)</f>
        <v>1</v>
      </c>
      <c r="BU5" s="56" t="str">
        <f>CHOOSE(MOD(WEEKDAY(DATE(BT$3,BT$2,BT5)),7)+1,"lø","sø","ma","ti","on","to","fr",)</f>
        <v>sø</v>
      </c>
      <c r="BV5" s="57" t="s">
        <v>77</v>
      </c>
      <c r="BW5" s="58" t="str">
        <f>IF(BU5="ma",(DATE(BT$3,BT$2,BT5)-DATE(BT$3,1,1)+7)/7,"")</f>
        <v/>
      </c>
      <c r="BX5" s="238"/>
      <c r="BY5" s="239"/>
      <c r="BZ5" s="240"/>
      <c r="CA5" s="55">
        <f>IF(ISNUMBER(CA4),CA4+1,1)</f>
        <v>1</v>
      </c>
      <c r="CB5" s="56" t="str">
        <f>CHOOSE(MOD(WEEKDAY(DATE(CA$3,CA$2,CA5)),7)+1,"lø","sø","ma","ti","on","to","fr",)</f>
        <v>ti</v>
      </c>
      <c r="CC5" s="57" t="s">
        <v>68</v>
      </c>
      <c r="CD5" s="58" t="str">
        <f>IF(CB5="ma",(DATE(CA$3,CA$2,CA5)-DATE(CA$3,1,1)+7)/7,"")</f>
        <v/>
      </c>
      <c r="CE5" s="263" t="s">
        <v>198</v>
      </c>
      <c r="CF5" s="264"/>
      <c r="CG5" s="265"/>
      <c r="CH5" s="75"/>
      <c r="CI5" s="44"/>
      <c r="CJ5" s="44"/>
      <c r="CK5" s="44"/>
      <c r="CL5" s="44"/>
    </row>
    <row r="6" spans="1:90" ht="18" customHeight="1" x14ac:dyDescent="0.2">
      <c r="A6" s="244" t="s">
        <v>149</v>
      </c>
      <c r="B6" s="55">
        <f t="shared" ref="B6:B34" si="0">IF(ISNUMBER(B5),B5+1,1)</f>
        <v>2</v>
      </c>
      <c r="C6" s="56" t="str">
        <f t="shared" ref="C6:C34" si="1">CHOOSE(MOD(WEEKDAY(DATE(B$3,B$2,B6)),7)+1,"lø","sø","ma","ti","on","to","fr",)</f>
        <v>fr</v>
      </c>
      <c r="D6" s="57" t="s">
        <v>80</v>
      </c>
      <c r="E6" s="58" t="str">
        <f t="shared" ref="E6:E34" si="2">IF(C6="ma",(DATE(B$3,B$2,B6)-DATE(B$3,1,1)+7)/7,"")</f>
        <v/>
      </c>
      <c r="F6" s="238" t="s">
        <v>69</v>
      </c>
      <c r="G6" s="239"/>
      <c r="H6" s="240"/>
      <c r="I6" s="55">
        <f t="shared" ref="I6:I34" si="3">IF(ISNUMBER(I5),I5+1,1)</f>
        <v>2</v>
      </c>
      <c r="J6" s="56" t="str">
        <f t="shared" ref="J6:J34" si="4">CHOOSE(MOD(WEEKDAY(DATE(I$3,I$2,I6)),7)+1,"lø","sø","ma","ti","on","to","fr",)</f>
        <v>ma</v>
      </c>
      <c r="K6" s="57" t="s">
        <v>128</v>
      </c>
      <c r="L6" s="58">
        <f t="shared" ref="L6:L34" si="5">IF(J6="ma",(DATE(I$3,I$2,I6)-DATE(I$3,1,1)+7)/7,"")</f>
        <v>36</v>
      </c>
      <c r="M6" s="238"/>
      <c r="N6" s="239"/>
      <c r="O6" s="240"/>
      <c r="P6" s="55">
        <f t="shared" ref="P6:P34" si="6">IF(ISNUMBER(P5),P5+1,1)</f>
        <v>2</v>
      </c>
      <c r="Q6" s="56" t="str">
        <f t="shared" ref="Q6:Q34" si="7">CHOOSE(MOD(WEEKDAY(DATE(P$3,P$2,P6)),7)+1,"lø","sø","ma","ti","on","to","fr",)</f>
        <v>on</v>
      </c>
      <c r="R6" s="57" t="s">
        <v>128</v>
      </c>
      <c r="S6" s="58" t="str">
        <f t="shared" ref="S6:S34" si="8">IF(Q6="ma",(DATE(P$3,P$2,P6)-DATE(P$3,1,1)+7)/7,"")</f>
        <v/>
      </c>
      <c r="T6" s="238"/>
      <c r="U6" s="239"/>
      <c r="V6" s="240"/>
      <c r="W6" s="55">
        <f t="shared" ref="W6:W34" si="9">IF(ISNUMBER(W5),W5+1,1)</f>
        <v>2</v>
      </c>
      <c r="X6" s="56" t="str">
        <f t="shared" ref="X6:X34" si="10">CHOOSE(MOD(WEEKDAY(DATE(W$3,W$2,W6)),7)+1,"lø","sø","ma","ti","on","to","fr",)</f>
        <v>lø</v>
      </c>
      <c r="Y6" s="57" t="s">
        <v>77</v>
      </c>
      <c r="Z6" s="58" t="str">
        <f t="shared" ref="Z6:Z34" si="11">IF(X6="ma",(DATE(W$3,W$2,W6)-DATE(W$3,1,1)+7)/7,"")</f>
        <v/>
      </c>
      <c r="AA6" s="238"/>
      <c r="AB6" s="239"/>
      <c r="AC6" s="240"/>
      <c r="AD6" s="55">
        <f t="shared" ref="AD6:AD34" si="12">IF(ISNUMBER(AD5),AD5+1,1)</f>
        <v>2</v>
      </c>
      <c r="AE6" s="56" t="str">
        <f t="shared" ref="AE6:AE34" si="13">CHOOSE(MOD(WEEKDAY(DATE(AD$3,AD$2,AD6)),7)+1,"lø","sø","ma","ti","on","to","fr",)</f>
        <v>ma</v>
      </c>
      <c r="AF6" s="57" t="s">
        <v>128</v>
      </c>
      <c r="AG6" s="58">
        <f t="shared" ref="AG6:AG33" si="14">IF(AE6="ma",(DATE(AD$3,AD$2,AD6)-DATE(AD$3,1,1)+7)/7,"")</f>
        <v>49</v>
      </c>
      <c r="AH6" s="238"/>
      <c r="AI6" s="239"/>
      <c r="AJ6" s="240"/>
      <c r="AK6" s="55">
        <f t="shared" ref="AK6:AK34" si="15">IF(ISNUMBER(AK5),AK5+1,1)</f>
        <v>2</v>
      </c>
      <c r="AL6" s="56" t="str">
        <f t="shared" ref="AL6:AL34" si="16">CHOOSE(MOD(WEEKDAY(DATE(AK$3,AK$2,AK6)),7)+1,"lø","sø","ma","ti","on","to","fr",)</f>
        <v>to</v>
      </c>
      <c r="AM6" s="57" t="s">
        <v>80</v>
      </c>
      <c r="AN6" s="58" t="str">
        <f t="shared" ref="AN6:AN34" si="17">IF(AL6="ma",(DATE(AK$3,AK$2,AK6)-DATE(AK$3,1,1)+7)/7,"")</f>
        <v/>
      </c>
      <c r="AO6" s="241"/>
      <c r="AP6" s="242"/>
      <c r="AQ6" s="243"/>
      <c r="AR6" s="55">
        <f t="shared" ref="AR6:AR32" si="18">IF(ISNUMBER(AR5),AR5+1,1)</f>
        <v>2</v>
      </c>
      <c r="AS6" s="56" t="str">
        <f t="shared" ref="AS6:AS32" si="19">CHOOSE(MOD(WEEKDAY(DATE(AR$3,AR$2,AR6)),7)+1,"lø","sø","ma","ti","on","to","fr",)</f>
        <v>sø</v>
      </c>
      <c r="AT6" s="57" t="s">
        <v>77</v>
      </c>
      <c r="AU6" s="58" t="str">
        <f t="shared" ref="AU6:AU32" si="20">IF(AS6="ma",(DATE(AR$3,AR$2,AR6)-DATE(AR$3,1,1)+7)/7,"")</f>
        <v/>
      </c>
      <c r="AV6" s="238"/>
      <c r="AW6" s="239"/>
      <c r="AX6" s="240"/>
      <c r="AY6" s="55">
        <f t="shared" ref="AY6:AY34" si="21">IF(ISNUMBER(AY5),AY5+1,1)</f>
        <v>2</v>
      </c>
      <c r="AZ6" s="56" t="str">
        <f t="shared" ref="AZ6:AZ34" si="22">CHOOSE(MOD(WEEKDAY(DATE(AY$3,AY$2,AY6)),7)+1,"lø","sø","ma","ti","on","to","fr",)</f>
        <v>sø</v>
      </c>
      <c r="BA6" s="57" t="s">
        <v>77</v>
      </c>
      <c r="BB6" s="58" t="str">
        <f t="shared" ref="BB6:BB34" si="23">IF(AZ6="ma",(DATE(AY$3,AY$2,AY6)-DATE(AY$3,1,1)+7)/7,"")</f>
        <v/>
      </c>
      <c r="BC6" s="238"/>
      <c r="BD6" s="239"/>
      <c r="BE6" s="240"/>
      <c r="BF6" s="55">
        <f t="shared" ref="BF6:BF34" si="24">IF(ISNUMBER(BF5),BF5+1,1)</f>
        <v>2</v>
      </c>
      <c r="BG6" s="56" t="str">
        <f t="shared" ref="BG6:BG34" si="25">CHOOSE(MOD(WEEKDAY(DATE(BF$3,BF$2,BF6)),7)+1,"lø","sø","ma","ti","on","to","fr",)</f>
        <v>on</v>
      </c>
      <c r="BH6" s="57" t="s">
        <v>128</v>
      </c>
      <c r="BI6" s="58" t="str">
        <f t="shared" ref="BI6:BI34" si="26">IF(BG6="ma",(DATE(BF$3,BF$2,BF6)-DATE(BF$3,1,1)+7)/7,"")</f>
        <v/>
      </c>
      <c r="BJ6" s="238"/>
      <c r="BK6" s="239"/>
      <c r="BL6" s="240"/>
      <c r="BM6" s="55">
        <f t="shared" ref="BM6:BM34" si="27">IF(ISNUMBER(BM5),BM5+1,1)</f>
        <v>2</v>
      </c>
      <c r="BN6" s="56" t="str">
        <f t="shared" ref="BN6:BN34" si="28">CHOOSE(MOD(WEEKDAY(DATE(BM$3,BM$2,BM6)),7)+1,"lø","sø","ma","ti","on","to","fr",)</f>
        <v>fr</v>
      </c>
      <c r="BO6" s="57" t="s">
        <v>128</v>
      </c>
      <c r="BP6" s="58" t="str">
        <f t="shared" ref="BP6:BP34" si="29">IF(BN6="ma",(DATE(BM$3,BM$2,BM6)-DATE(BM$3,1,1)+7)/7,"")</f>
        <v/>
      </c>
      <c r="BQ6" s="238"/>
      <c r="BR6" s="239"/>
      <c r="BS6" s="240"/>
      <c r="BT6" s="55">
        <f t="shared" ref="BT6:BT34" si="30">IF(ISNUMBER(BT5),BT5+1,1)</f>
        <v>2</v>
      </c>
      <c r="BU6" s="56" t="str">
        <f t="shared" ref="BU6:BU34" si="31">CHOOSE(MOD(WEEKDAY(DATE(BT$3,BT$2,BT6)),7)+1,"lø","sø","ma","ti","on","to","fr",)</f>
        <v>ma</v>
      </c>
      <c r="BV6" s="57" t="s">
        <v>128</v>
      </c>
      <c r="BW6" s="58">
        <f t="shared" ref="BW6:BW34" si="32">IF(BU6="ma",(DATE(BT$3,BT$2,BT6)-DATE(BT$3,1,1)+7)/7,"")</f>
        <v>22.714285714285715</v>
      </c>
      <c r="BX6" s="238"/>
      <c r="BY6" s="239"/>
      <c r="BZ6" s="240"/>
      <c r="CA6" s="55">
        <f t="shared" ref="CA6:CA34" si="33">IF(ISNUMBER(CA5),CA5+1,1)</f>
        <v>2</v>
      </c>
      <c r="CB6" s="56" t="str">
        <f t="shared" ref="CB6:CB34" si="34">CHOOSE(MOD(WEEKDAY(DATE(CA$3,CA$2,CA6)),7)+1,"lø","sø","ma","ti","on","to","fr",)</f>
        <v>on</v>
      </c>
      <c r="CC6" s="57" t="s">
        <v>68</v>
      </c>
      <c r="CD6" s="58" t="str">
        <f>IF(CB6="ma",(DATE(CA$3,CA$2,CA6)-DATE(CA$3,1,1)+7)/7,"")</f>
        <v/>
      </c>
      <c r="CE6" s="263" t="s">
        <v>198</v>
      </c>
      <c r="CF6" s="264"/>
      <c r="CG6" s="265"/>
      <c r="CH6" s="75"/>
      <c r="CI6" s="44"/>
      <c r="CJ6" s="44"/>
      <c r="CK6" s="44"/>
      <c r="CL6" s="44"/>
    </row>
    <row r="7" spans="1:90" ht="18" customHeight="1" x14ac:dyDescent="0.2">
      <c r="A7" s="244"/>
      <c r="B7" s="55">
        <f t="shared" si="0"/>
        <v>3</v>
      </c>
      <c r="C7" s="56" t="str">
        <f t="shared" si="1"/>
        <v>lø</v>
      </c>
      <c r="D7" s="57" t="s">
        <v>77</v>
      </c>
      <c r="E7" s="58" t="str">
        <f t="shared" si="2"/>
        <v/>
      </c>
      <c r="F7" s="238"/>
      <c r="G7" s="239"/>
      <c r="H7" s="240"/>
      <c r="I7" s="55">
        <f t="shared" si="3"/>
        <v>3</v>
      </c>
      <c r="J7" s="56" t="str">
        <f t="shared" si="4"/>
        <v>ti</v>
      </c>
      <c r="K7" s="57" t="s">
        <v>128</v>
      </c>
      <c r="L7" s="58" t="str">
        <f t="shared" si="5"/>
        <v/>
      </c>
      <c r="M7" s="238"/>
      <c r="N7" s="239"/>
      <c r="O7" s="240"/>
      <c r="P7" s="55">
        <f t="shared" si="6"/>
        <v>3</v>
      </c>
      <c r="Q7" s="56" t="str">
        <f t="shared" si="7"/>
        <v>to</v>
      </c>
      <c r="R7" s="57" t="s">
        <v>128</v>
      </c>
      <c r="S7" s="58" t="str">
        <f t="shared" si="8"/>
        <v/>
      </c>
      <c r="T7" s="238"/>
      <c r="U7" s="239"/>
      <c r="V7" s="240"/>
      <c r="W7" s="55">
        <f t="shared" si="9"/>
        <v>3</v>
      </c>
      <c r="X7" s="56" t="str">
        <f t="shared" si="10"/>
        <v>sø</v>
      </c>
      <c r="Y7" s="57" t="s">
        <v>77</v>
      </c>
      <c r="Z7" s="58" t="str">
        <f t="shared" si="11"/>
        <v/>
      </c>
      <c r="AA7" s="238"/>
      <c r="AB7" s="239"/>
      <c r="AC7" s="240"/>
      <c r="AD7" s="55">
        <f t="shared" si="12"/>
        <v>3</v>
      </c>
      <c r="AE7" s="56" t="str">
        <f t="shared" si="13"/>
        <v>ti</v>
      </c>
      <c r="AF7" s="57" t="s">
        <v>128</v>
      </c>
      <c r="AG7" s="58" t="str">
        <f t="shared" si="14"/>
        <v/>
      </c>
      <c r="AH7" s="238"/>
      <c r="AI7" s="239"/>
      <c r="AJ7" s="240"/>
      <c r="AK7" s="55">
        <f t="shared" si="15"/>
        <v>3</v>
      </c>
      <c r="AL7" s="56" t="str">
        <f t="shared" si="16"/>
        <v>fr</v>
      </c>
      <c r="AM7" s="57" t="s">
        <v>80</v>
      </c>
      <c r="AN7" s="58" t="str">
        <f t="shared" si="17"/>
        <v/>
      </c>
      <c r="AO7" s="241"/>
      <c r="AP7" s="242"/>
      <c r="AQ7" s="243"/>
      <c r="AR7" s="55">
        <f t="shared" si="18"/>
        <v>3</v>
      </c>
      <c r="AS7" s="56" t="str">
        <f t="shared" si="19"/>
        <v>ma</v>
      </c>
      <c r="AT7" s="57" t="s">
        <v>128</v>
      </c>
      <c r="AU7" s="58">
        <f t="shared" si="20"/>
        <v>5.7142857142857144</v>
      </c>
      <c r="AV7" s="238"/>
      <c r="AW7" s="239"/>
      <c r="AX7" s="240"/>
      <c r="AY7" s="55">
        <f t="shared" si="21"/>
        <v>3</v>
      </c>
      <c r="AZ7" s="56" t="str">
        <f t="shared" si="22"/>
        <v>ma</v>
      </c>
      <c r="BA7" s="57" t="s">
        <v>128</v>
      </c>
      <c r="BB7" s="58">
        <f t="shared" si="23"/>
        <v>9.7142857142857135</v>
      </c>
      <c r="BC7" s="238"/>
      <c r="BD7" s="239"/>
      <c r="BE7" s="240"/>
      <c r="BF7" s="55">
        <f t="shared" si="24"/>
        <v>3</v>
      </c>
      <c r="BG7" s="56" t="str">
        <f t="shared" si="25"/>
        <v>to</v>
      </c>
      <c r="BH7" s="57" t="s">
        <v>128</v>
      </c>
      <c r="BI7" s="58" t="str">
        <f t="shared" si="26"/>
        <v/>
      </c>
      <c r="BJ7" s="238"/>
      <c r="BK7" s="239"/>
      <c r="BL7" s="240"/>
      <c r="BM7" s="55">
        <f t="shared" si="27"/>
        <v>3</v>
      </c>
      <c r="BN7" s="56" t="str">
        <f t="shared" si="28"/>
        <v>lø</v>
      </c>
      <c r="BO7" s="57" t="s">
        <v>77</v>
      </c>
      <c r="BP7" s="58" t="str">
        <f t="shared" si="29"/>
        <v/>
      </c>
      <c r="BQ7" s="238"/>
      <c r="BR7" s="239"/>
      <c r="BS7" s="240"/>
      <c r="BT7" s="55">
        <f t="shared" si="30"/>
        <v>3</v>
      </c>
      <c r="BU7" s="56" t="str">
        <f t="shared" si="31"/>
        <v>ti</v>
      </c>
      <c r="BV7" s="57" t="s">
        <v>128</v>
      </c>
      <c r="BW7" s="58" t="str">
        <f t="shared" si="32"/>
        <v/>
      </c>
      <c r="BX7" s="238"/>
      <c r="BY7" s="239"/>
      <c r="BZ7" s="240"/>
      <c r="CA7" s="55">
        <f t="shared" si="33"/>
        <v>3</v>
      </c>
      <c r="CB7" s="56" t="str">
        <f t="shared" si="34"/>
        <v>to</v>
      </c>
      <c r="CC7" s="57" t="s">
        <v>68</v>
      </c>
      <c r="CD7" s="58" t="str">
        <f t="shared" ref="CD7:CD34" si="35">IF(CB7="ma",(DATE(CA$3,CA$2,CA7)-DATE(CA$3,1,1)+7)/7,"")</f>
        <v/>
      </c>
      <c r="CE7" s="263" t="s">
        <v>198</v>
      </c>
      <c r="CF7" s="264"/>
      <c r="CG7" s="265"/>
      <c r="CH7" s="75"/>
      <c r="CI7" s="44"/>
      <c r="CJ7" s="44"/>
      <c r="CK7" s="44"/>
      <c r="CL7" s="44"/>
    </row>
    <row r="8" spans="1:90" ht="18" customHeight="1" x14ac:dyDescent="0.2">
      <c r="A8" s="244"/>
      <c r="B8" s="55">
        <f t="shared" si="0"/>
        <v>4</v>
      </c>
      <c r="C8" s="56" t="str">
        <f t="shared" si="1"/>
        <v>sø</v>
      </c>
      <c r="D8" s="57" t="s">
        <v>77</v>
      </c>
      <c r="E8" s="58" t="str">
        <f t="shared" si="2"/>
        <v/>
      </c>
      <c r="F8" s="238"/>
      <c r="G8" s="239"/>
      <c r="H8" s="240"/>
      <c r="I8" s="55">
        <f t="shared" si="3"/>
        <v>4</v>
      </c>
      <c r="J8" s="56" t="str">
        <f t="shared" si="4"/>
        <v>on</v>
      </c>
      <c r="K8" s="57" t="s">
        <v>128</v>
      </c>
      <c r="L8" s="58" t="str">
        <f t="shared" si="5"/>
        <v/>
      </c>
      <c r="M8" s="238"/>
      <c r="N8" s="239"/>
      <c r="O8" s="240"/>
      <c r="P8" s="55">
        <f t="shared" si="6"/>
        <v>4</v>
      </c>
      <c r="Q8" s="56" t="str">
        <f t="shared" si="7"/>
        <v>fr</v>
      </c>
      <c r="R8" s="57" t="s">
        <v>128</v>
      </c>
      <c r="S8" s="58" t="str">
        <f t="shared" si="8"/>
        <v/>
      </c>
      <c r="T8" s="238"/>
      <c r="U8" s="239"/>
      <c r="V8" s="240"/>
      <c r="W8" s="55">
        <f t="shared" si="9"/>
        <v>4</v>
      </c>
      <c r="X8" s="56" t="str">
        <f t="shared" si="10"/>
        <v>ma</v>
      </c>
      <c r="Y8" s="57" t="s">
        <v>128</v>
      </c>
      <c r="Z8" s="58">
        <f t="shared" si="11"/>
        <v>45</v>
      </c>
      <c r="AA8" s="238"/>
      <c r="AB8" s="239"/>
      <c r="AC8" s="240"/>
      <c r="AD8" s="55">
        <f t="shared" si="12"/>
        <v>4</v>
      </c>
      <c r="AE8" s="56" t="str">
        <f t="shared" si="13"/>
        <v>on</v>
      </c>
      <c r="AF8" s="57" t="s">
        <v>128</v>
      </c>
      <c r="AG8" s="58" t="str">
        <f t="shared" si="14"/>
        <v/>
      </c>
      <c r="AH8" s="238"/>
      <c r="AI8" s="239"/>
      <c r="AJ8" s="240"/>
      <c r="AK8" s="55">
        <f t="shared" si="15"/>
        <v>4</v>
      </c>
      <c r="AL8" s="56" t="str">
        <f t="shared" si="16"/>
        <v>lø</v>
      </c>
      <c r="AM8" s="57" t="s">
        <v>75</v>
      </c>
      <c r="AN8" s="58" t="str">
        <f t="shared" si="17"/>
        <v/>
      </c>
      <c r="AO8" s="241"/>
      <c r="AP8" s="242"/>
      <c r="AQ8" s="243"/>
      <c r="AR8" s="55">
        <f t="shared" si="18"/>
        <v>4</v>
      </c>
      <c r="AS8" s="56" t="str">
        <f t="shared" si="19"/>
        <v>ti</v>
      </c>
      <c r="AT8" s="57" t="s">
        <v>128</v>
      </c>
      <c r="AU8" s="58" t="str">
        <f t="shared" si="20"/>
        <v/>
      </c>
      <c r="AV8" s="238"/>
      <c r="AW8" s="239"/>
      <c r="AX8" s="240"/>
      <c r="AY8" s="55">
        <f t="shared" si="21"/>
        <v>4</v>
      </c>
      <c r="AZ8" s="56" t="str">
        <f t="shared" si="22"/>
        <v>ti</v>
      </c>
      <c r="BA8" s="57" t="s">
        <v>128</v>
      </c>
      <c r="BB8" s="58" t="str">
        <f t="shared" si="23"/>
        <v/>
      </c>
      <c r="BC8" s="238"/>
      <c r="BD8" s="239"/>
      <c r="BE8" s="240"/>
      <c r="BF8" s="55">
        <f t="shared" si="24"/>
        <v>4</v>
      </c>
      <c r="BG8" s="56" t="str">
        <f t="shared" si="25"/>
        <v>fr</v>
      </c>
      <c r="BH8" s="57" t="s">
        <v>128</v>
      </c>
      <c r="BI8" s="58" t="str">
        <f t="shared" si="26"/>
        <v/>
      </c>
      <c r="BJ8" s="238"/>
      <c r="BK8" s="239"/>
      <c r="BL8" s="240"/>
      <c r="BM8" s="55">
        <f t="shared" si="27"/>
        <v>4</v>
      </c>
      <c r="BN8" s="56" t="str">
        <f t="shared" si="28"/>
        <v>sø</v>
      </c>
      <c r="BO8" s="57" t="s">
        <v>77</v>
      </c>
      <c r="BP8" s="58" t="str">
        <f t="shared" si="29"/>
        <v/>
      </c>
      <c r="BQ8" s="238"/>
      <c r="BR8" s="239"/>
      <c r="BS8" s="240"/>
      <c r="BT8" s="55">
        <f t="shared" si="30"/>
        <v>4</v>
      </c>
      <c r="BU8" s="56" t="str">
        <f t="shared" si="31"/>
        <v>on</v>
      </c>
      <c r="BV8" s="57" t="s">
        <v>128</v>
      </c>
      <c r="BW8" s="58" t="str">
        <f t="shared" si="32"/>
        <v/>
      </c>
      <c r="BX8" s="238"/>
      <c r="BY8" s="239"/>
      <c r="BZ8" s="240"/>
      <c r="CA8" s="55">
        <f t="shared" si="33"/>
        <v>4</v>
      </c>
      <c r="CB8" s="56" t="str">
        <f t="shared" si="34"/>
        <v>fr</v>
      </c>
      <c r="CC8" s="57" t="s">
        <v>68</v>
      </c>
      <c r="CD8" s="58" t="str">
        <f t="shared" si="35"/>
        <v/>
      </c>
      <c r="CE8" s="263" t="s">
        <v>198</v>
      </c>
      <c r="CF8" s="264"/>
      <c r="CG8" s="265"/>
      <c r="CH8" s="75"/>
      <c r="CI8" s="44"/>
      <c r="CJ8" s="44"/>
      <c r="CK8" s="44"/>
      <c r="CL8" s="44"/>
    </row>
    <row r="9" spans="1:90" ht="18" customHeight="1" x14ac:dyDescent="0.2">
      <c r="A9" s="244"/>
      <c r="B9" s="55">
        <f t="shared" si="0"/>
        <v>5</v>
      </c>
      <c r="C9" s="56" t="str">
        <f t="shared" si="1"/>
        <v>ma</v>
      </c>
      <c r="D9" s="57" t="s">
        <v>68</v>
      </c>
      <c r="E9" s="58">
        <f t="shared" si="2"/>
        <v>32</v>
      </c>
      <c r="F9" s="238"/>
      <c r="G9" s="239"/>
      <c r="H9" s="240"/>
      <c r="I9" s="55">
        <f t="shared" si="3"/>
        <v>5</v>
      </c>
      <c r="J9" s="56" t="str">
        <f t="shared" si="4"/>
        <v>to</v>
      </c>
      <c r="K9" s="57" t="s">
        <v>128</v>
      </c>
      <c r="L9" s="58" t="str">
        <f t="shared" si="5"/>
        <v/>
      </c>
      <c r="M9" s="238"/>
      <c r="N9" s="239"/>
      <c r="O9" s="240"/>
      <c r="P9" s="55">
        <f t="shared" si="6"/>
        <v>5</v>
      </c>
      <c r="Q9" s="56" t="str">
        <f t="shared" si="7"/>
        <v>lø</v>
      </c>
      <c r="R9" s="57" t="s">
        <v>75</v>
      </c>
      <c r="S9" s="58" t="str">
        <f t="shared" si="8"/>
        <v/>
      </c>
      <c r="T9" s="238" t="s">
        <v>171</v>
      </c>
      <c r="U9" s="239"/>
      <c r="V9" s="240"/>
      <c r="W9" s="55">
        <f t="shared" si="9"/>
        <v>5</v>
      </c>
      <c r="X9" s="56" t="str">
        <f t="shared" si="10"/>
        <v>ti</v>
      </c>
      <c r="Y9" s="57" t="s">
        <v>128</v>
      </c>
      <c r="Z9" s="58" t="str">
        <f t="shared" si="11"/>
        <v/>
      </c>
      <c r="AA9" s="238"/>
      <c r="AB9" s="239"/>
      <c r="AC9" s="240"/>
      <c r="AD9" s="55">
        <f t="shared" si="12"/>
        <v>5</v>
      </c>
      <c r="AE9" s="56" t="str">
        <f t="shared" si="13"/>
        <v>to</v>
      </c>
      <c r="AF9" s="57" t="s">
        <v>128</v>
      </c>
      <c r="AG9" s="58" t="str">
        <f t="shared" si="14"/>
        <v/>
      </c>
      <c r="AH9" s="238"/>
      <c r="AI9" s="239"/>
      <c r="AJ9" s="240"/>
      <c r="AK9" s="55">
        <f t="shared" si="15"/>
        <v>5</v>
      </c>
      <c r="AL9" s="56" t="str">
        <f t="shared" si="16"/>
        <v>sø</v>
      </c>
      <c r="AM9" s="57" t="s">
        <v>75</v>
      </c>
      <c r="AN9" s="58" t="str">
        <f t="shared" si="17"/>
        <v/>
      </c>
      <c r="AO9" s="241"/>
      <c r="AP9" s="242"/>
      <c r="AQ9" s="243"/>
      <c r="AR9" s="55">
        <f t="shared" si="18"/>
        <v>5</v>
      </c>
      <c r="AS9" s="56" t="str">
        <f t="shared" si="19"/>
        <v>on</v>
      </c>
      <c r="AT9" s="57" t="s">
        <v>128</v>
      </c>
      <c r="AU9" s="58" t="str">
        <f t="shared" si="20"/>
        <v/>
      </c>
      <c r="AV9" s="238"/>
      <c r="AW9" s="239"/>
      <c r="AX9" s="240"/>
      <c r="AY9" s="55">
        <f t="shared" si="21"/>
        <v>5</v>
      </c>
      <c r="AZ9" s="56" t="str">
        <f t="shared" si="22"/>
        <v>on</v>
      </c>
      <c r="BA9" s="57" t="s">
        <v>128</v>
      </c>
      <c r="BB9" s="58" t="str">
        <f t="shared" si="23"/>
        <v/>
      </c>
      <c r="BC9" s="238"/>
      <c r="BD9" s="239"/>
      <c r="BE9" s="240"/>
      <c r="BF9" s="55">
        <f t="shared" si="24"/>
        <v>5</v>
      </c>
      <c r="BG9" s="56" t="str">
        <f t="shared" si="25"/>
        <v>lø</v>
      </c>
      <c r="BH9" s="57" t="s">
        <v>77</v>
      </c>
      <c r="BI9" s="58" t="str">
        <f t="shared" si="26"/>
        <v/>
      </c>
      <c r="BJ9" s="238"/>
      <c r="BK9" s="239"/>
      <c r="BL9" s="240"/>
      <c r="BM9" s="55">
        <f t="shared" si="27"/>
        <v>5</v>
      </c>
      <c r="BN9" s="56" t="str">
        <f t="shared" si="28"/>
        <v>ma</v>
      </c>
      <c r="BO9" s="57" t="s">
        <v>128</v>
      </c>
      <c r="BP9" s="58">
        <f t="shared" si="29"/>
        <v>18.714285714285715</v>
      </c>
      <c r="BQ9" s="238"/>
      <c r="BR9" s="239"/>
      <c r="BS9" s="240"/>
      <c r="BT9" s="55">
        <f t="shared" si="30"/>
        <v>5</v>
      </c>
      <c r="BU9" s="56" t="str">
        <f t="shared" si="31"/>
        <v>to</v>
      </c>
      <c r="BV9" s="57" t="s">
        <v>80</v>
      </c>
      <c r="BW9" s="58" t="str">
        <f t="shared" si="32"/>
        <v/>
      </c>
      <c r="BX9" s="238" t="s">
        <v>136</v>
      </c>
      <c r="BY9" s="239"/>
      <c r="BZ9" s="240"/>
      <c r="CA9" s="55">
        <f t="shared" si="33"/>
        <v>5</v>
      </c>
      <c r="CB9" s="56" t="str">
        <f t="shared" si="34"/>
        <v>lø</v>
      </c>
      <c r="CC9" s="57" t="s">
        <v>77</v>
      </c>
      <c r="CD9" s="58" t="str">
        <f t="shared" si="35"/>
        <v/>
      </c>
      <c r="CE9" s="263"/>
      <c r="CF9" s="264"/>
      <c r="CG9" s="265"/>
      <c r="CH9" s="75"/>
      <c r="CI9" s="44"/>
      <c r="CJ9" s="44"/>
      <c r="CK9" s="44"/>
      <c r="CL9" s="44"/>
    </row>
    <row r="10" spans="1:90" ht="18" customHeight="1" x14ac:dyDescent="0.2">
      <c r="A10" s="244"/>
      <c r="B10" s="55">
        <f t="shared" si="0"/>
        <v>6</v>
      </c>
      <c r="C10" s="56" t="str">
        <f t="shared" si="1"/>
        <v>ti</v>
      </c>
      <c r="D10" s="57" t="s">
        <v>68</v>
      </c>
      <c r="E10" s="58" t="str">
        <f t="shared" si="2"/>
        <v/>
      </c>
      <c r="F10" s="238"/>
      <c r="G10" s="239"/>
      <c r="H10" s="240"/>
      <c r="I10" s="55">
        <f t="shared" si="3"/>
        <v>6</v>
      </c>
      <c r="J10" s="56" t="str">
        <f t="shared" si="4"/>
        <v>fr</v>
      </c>
      <c r="K10" s="57" t="s">
        <v>128</v>
      </c>
      <c r="L10" s="58" t="str">
        <f t="shared" si="5"/>
        <v/>
      </c>
      <c r="M10" s="238"/>
      <c r="N10" s="239"/>
      <c r="O10" s="240"/>
      <c r="P10" s="55">
        <f t="shared" si="6"/>
        <v>6</v>
      </c>
      <c r="Q10" s="56" t="str">
        <f t="shared" si="7"/>
        <v>sø</v>
      </c>
      <c r="R10" s="57" t="s">
        <v>75</v>
      </c>
      <c r="S10" s="58" t="str">
        <f t="shared" si="8"/>
        <v/>
      </c>
      <c r="T10" s="238"/>
      <c r="U10" s="239"/>
      <c r="V10" s="240"/>
      <c r="W10" s="55">
        <f t="shared" si="9"/>
        <v>6</v>
      </c>
      <c r="X10" s="56" t="str">
        <f t="shared" si="10"/>
        <v>on</v>
      </c>
      <c r="Y10" s="57" t="s">
        <v>128</v>
      </c>
      <c r="Z10" s="58" t="str">
        <f t="shared" si="11"/>
        <v/>
      </c>
      <c r="AA10" s="238"/>
      <c r="AB10" s="239"/>
      <c r="AC10" s="240"/>
      <c r="AD10" s="55">
        <f t="shared" si="12"/>
        <v>6</v>
      </c>
      <c r="AE10" s="56" t="str">
        <f t="shared" si="13"/>
        <v>fr</v>
      </c>
      <c r="AF10" s="57" t="s">
        <v>128</v>
      </c>
      <c r="AG10" s="58" t="str">
        <f t="shared" si="14"/>
        <v/>
      </c>
      <c r="AH10" s="238"/>
      <c r="AI10" s="239"/>
      <c r="AJ10" s="240"/>
      <c r="AK10" s="55">
        <f t="shared" si="15"/>
        <v>6</v>
      </c>
      <c r="AL10" s="56" t="str">
        <f t="shared" si="16"/>
        <v>ma</v>
      </c>
      <c r="AM10" s="57" t="s">
        <v>128</v>
      </c>
      <c r="AN10" s="58">
        <f t="shared" si="17"/>
        <v>1.7142857142857142</v>
      </c>
      <c r="AO10" s="241"/>
      <c r="AP10" s="242"/>
      <c r="AQ10" s="243"/>
      <c r="AR10" s="55">
        <f t="shared" si="18"/>
        <v>6</v>
      </c>
      <c r="AS10" s="56" t="str">
        <f t="shared" si="19"/>
        <v>to</v>
      </c>
      <c r="AT10" s="57" t="s">
        <v>128</v>
      </c>
      <c r="AU10" s="58" t="str">
        <f t="shared" si="20"/>
        <v/>
      </c>
      <c r="AV10" s="238"/>
      <c r="AW10" s="239"/>
      <c r="AX10" s="240"/>
      <c r="AY10" s="55">
        <f t="shared" si="21"/>
        <v>6</v>
      </c>
      <c r="AZ10" s="56" t="str">
        <f t="shared" si="22"/>
        <v>to</v>
      </c>
      <c r="BA10" s="57" t="s">
        <v>128</v>
      </c>
      <c r="BB10" s="58" t="str">
        <f t="shared" si="23"/>
        <v/>
      </c>
      <c r="BC10" s="238"/>
      <c r="BD10" s="239"/>
      <c r="BE10" s="240"/>
      <c r="BF10" s="55">
        <f t="shared" si="24"/>
        <v>6</v>
      </c>
      <c r="BG10" s="56" t="str">
        <f t="shared" si="25"/>
        <v>sø</v>
      </c>
      <c r="BH10" s="57" t="s">
        <v>77</v>
      </c>
      <c r="BI10" s="58" t="str">
        <f t="shared" si="26"/>
        <v/>
      </c>
      <c r="BJ10" s="238"/>
      <c r="BK10" s="239"/>
      <c r="BL10" s="240"/>
      <c r="BM10" s="55">
        <f t="shared" si="27"/>
        <v>6</v>
      </c>
      <c r="BN10" s="56" t="str">
        <f t="shared" si="28"/>
        <v>ti</v>
      </c>
      <c r="BO10" s="57" t="s">
        <v>128</v>
      </c>
      <c r="BP10" s="58" t="str">
        <f t="shared" si="29"/>
        <v/>
      </c>
      <c r="BQ10" s="238"/>
      <c r="BR10" s="239"/>
      <c r="BS10" s="240"/>
      <c r="BT10" s="55">
        <f t="shared" si="30"/>
        <v>6</v>
      </c>
      <c r="BU10" s="56" t="str">
        <f t="shared" si="31"/>
        <v>fr</v>
      </c>
      <c r="BV10" s="57" t="s">
        <v>80</v>
      </c>
      <c r="BW10" s="58" t="str">
        <f t="shared" si="32"/>
        <v/>
      </c>
      <c r="BX10" s="238"/>
      <c r="BY10" s="239"/>
      <c r="BZ10" s="240"/>
      <c r="CA10" s="55">
        <f t="shared" si="33"/>
        <v>6</v>
      </c>
      <c r="CB10" s="56" t="str">
        <f t="shared" si="34"/>
        <v>sø</v>
      </c>
      <c r="CC10" s="57" t="s">
        <v>77</v>
      </c>
      <c r="CD10" s="58" t="str">
        <f t="shared" si="35"/>
        <v/>
      </c>
      <c r="CE10" s="263"/>
      <c r="CF10" s="264"/>
      <c r="CG10" s="265"/>
      <c r="CH10" s="75"/>
      <c r="CI10" s="44"/>
      <c r="CJ10" s="44"/>
      <c r="CK10" s="44"/>
      <c r="CL10" s="44"/>
    </row>
    <row r="11" spans="1:90" ht="18" customHeight="1" x14ac:dyDescent="0.2">
      <c r="A11" s="244"/>
      <c r="B11" s="55">
        <f t="shared" si="0"/>
        <v>7</v>
      </c>
      <c r="C11" s="56" t="str">
        <f t="shared" si="1"/>
        <v>on</v>
      </c>
      <c r="D11" s="57" t="s">
        <v>68</v>
      </c>
      <c r="E11" s="58" t="str">
        <f t="shared" si="2"/>
        <v/>
      </c>
      <c r="F11" s="238"/>
      <c r="G11" s="239"/>
      <c r="H11" s="240"/>
      <c r="I11" s="55">
        <f t="shared" si="3"/>
        <v>7</v>
      </c>
      <c r="J11" s="56" t="str">
        <f t="shared" si="4"/>
        <v>lø</v>
      </c>
      <c r="K11" s="57" t="s">
        <v>77</v>
      </c>
      <c r="L11" s="58" t="str">
        <f t="shared" si="5"/>
        <v/>
      </c>
      <c r="M11" s="238"/>
      <c r="N11" s="239"/>
      <c r="O11" s="240"/>
      <c r="P11" s="55">
        <f t="shared" si="6"/>
        <v>7</v>
      </c>
      <c r="Q11" s="56" t="str">
        <f t="shared" si="7"/>
        <v>ma</v>
      </c>
      <c r="R11" s="57" t="s">
        <v>128</v>
      </c>
      <c r="S11" s="58">
        <f t="shared" si="8"/>
        <v>41</v>
      </c>
      <c r="T11" s="238"/>
      <c r="U11" s="239"/>
      <c r="V11" s="240"/>
      <c r="W11" s="55">
        <f t="shared" si="9"/>
        <v>7</v>
      </c>
      <c r="X11" s="56" t="str">
        <f t="shared" si="10"/>
        <v>to</v>
      </c>
      <c r="Y11" s="57" t="s">
        <v>128</v>
      </c>
      <c r="Z11" s="58" t="str">
        <f t="shared" si="11"/>
        <v/>
      </c>
      <c r="AA11" s="238"/>
      <c r="AB11" s="239"/>
      <c r="AC11" s="240"/>
      <c r="AD11" s="55">
        <f t="shared" si="12"/>
        <v>7</v>
      </c>
      <c r="AE11" s="56" t="str">
        <f t="shared" si="13"/>
        <v>lø</v>
      </c>
      <c r="AF11" s="57" t="s">
        <v>77</v>
      </c>
      <c r="AG11" s="58" t="str">
        <f t="shared" si="14"/>
        <v/>
      </c>
      <c r="AH11" s="238"/>
      <c r="AI11" s="239"/>
      <c r="AJ11" s="240"/>
      <c r="AK11" s="55">
        <f t="shared" si="15"/>
        <v>7</v>
      </c>
      <c r="AL11" s="56" t="str">
        <f t="shared" si="16"/>
        <v>ti</v>
      </c>
      <c r="AM11" s="57" t="s">
        <v>128</v>
      </c>
      <c r="AN11" s="58" t="str">
        <f t="shared" si="17"/>
        <v/>
      </c>
      <c r="AO11" s="241"/>
      <c r="AP11" s="242"/>
      <c r="AQ11" s="243"/>
      <c r="AR11" s="55">
        <f t="shared" si="18"/>
        <v>7</v>
      </c>
      <c r="AS11" s="56" t="str">
        <f t="shared" si="19"/>
        <v>fr</v>
      </c>
      <c r="AT11" s="57" t="s">
        <v>128</v>
      </c>
      <c r="AU11" s="58" t="str">
        <f t="shared" si="20"/>
        <v/>
      </c>
      <c r="AV11" s="238"/>
      <c r="AW11" s="239"/>
      <c r="AX11" s="240"/>
      <c r="AY11" s="55">
        <f t="shared" si="21"/>
        <v>7</v>
      </c>
      <c r="AZ11" s="56" t="str">
        <f t="shared" si="22"/>
        <v>fr</v>
      </c>
      <c r="BA11" s="57" t="s">
        <v>128</v>
      </c>
      <c r="BB11" s="58" t="str">
        <f t="shared" si="23"/>
        <v/>
      </c>
      <c r="BC11" s="238"/>
      <c r="BD11" s="239"/>
      <c r="BE11" s="240"/>
      <c r="BF11" s="55">
        <f t="shared" si="24"/>
        <v>7</v>
      </c>
      <c r="BG11" s="56" t="str">
        <f t="shared" si="25"/>
        <v>ma</v>
      </c>
      <c r="BH11" s="57" t="s">
        <v>128</v>
      </c>
      <c r="BI11" s="58">
        <f t="shared" si="26"/>
        <v>14.714285714285714</v>
      </c>
      <c r="BJ11" s="238"/>
      <c r="BK11" s="239"/>
      <c r="BL11" s="240"/>
      <c r="BM11" s="55">
        <f t="shared" si="27"/>
        <v>7</v>
      </c>
      <c r="BN11" s="56" t="str">
        <f t="shared" si="28"/>
        <v>on</v>
      </c>
      <c r="BO11" s="57" t="s">
        <v>128</v>
      </c>
      <c r="BP11" s="58" t="str">
        <f t="shared" si="29"/>
        <v/>
      </c>
      <c r="BQ11" s="238"/>
      <c r="BR11" s="239"/>
      <c r="BS11" s="240"/>
      <c r="BT11" s="55">
        <f t="shared" si="30"/>
        <v>7</v>
      </c>
      <c r="BU11" s="56" t="str">
        <f t="shared" si="31"/>
        <v>lø</v>
      </c>
      <c r="BV11" s="57" t="s">
        <v>77</v>
      </c>
      <c r="BW11" s="58" t="str">
        <f t="shared" si="32"/>
        <v/>
      </c>
      <c r="BX11" s="238" t="s">
        <v>153</v>
      </c>
      <c r="BY11" s="239"/>
      <c r="BZ11" s="240"/>
      <c r="CA11" s="55">
        <f t="shared" si="33"/>
        <v>7</v>
      </c>
      <c r="CB11" s="56" t="str">
        <f t="shared" si="34"/>
        <v>ma</v>
      </c>
      <c r="CC11" s="57" t="s">
        <v>132</v>
      </c>
      <c r="CD11" s="58">
        <f t="shared" si="35"/>
        <v>27.714285714285715</v>
      </c>
      <c r="CE11" s="263" t="s">
        <v>69</v>
      </c>
      <c r="CF11" s="264"/>
      <c r="CG11" s="265"/>
      <c r="CH11" s="75"/>
      <c r="CI11" s="44"/>
      <c r="CJ11" s="44"/>
      <c r="CK11" s="44"/>
      <c r="CL11" s="84" t="s">
        <v>102</v>
      </c>
    </row>
    <row r="12" spans="1:90" ht="18" customHeight="1" x14ac:dyDescent="0.2">
      <c r="A12" s="244"/>
      <c r="B12" s="55">
        <f t="shared" si="0"/>
        <v>8</v>
      </c>
      <c r="C12" s="56" t="str">
        <f t="shared" si="1"/>
        <v>to</v>
      </c>
      <c r="D12" s="57" t="s">
        <v>128</v>
      </c>
      <c r="E12" s="58" t="str">
        <f t="shared" si="2"/>
        <v/>
      </c>
      <c r="F12" s="238"/>
      <c r="G12" s="239"/>
      <c r="H12" s="240"/>
      <c r="I12" s="55">
        <f t="shared" si="3"/>
        <v>8</v>
      </c>
      <c r="J12" s="56" t="str">
        <f t="shared" si="4"/>
        <v>sø</v>
      </c>
      <c r="K12" s="57" t="s">
        <v>77</v>
      </c>
      <c r="L12" s="58" t="str">
        <f t="shared" si="5"/>
        <v/>
      </c>
      <c r="M12" s="238"/>
      <c r="N12" s="239"/>
      <c r="O12" s="240"/>
      <c r="P12" s="55">
        <f t="shared" si="6"/>
        <v>8</v>
      </c>
      <c r="Q12" s="56" t="str">
        <f t="shared" si="7"/>
        <v>ti</v>
      </c>
      <c r="R12" s="57" t="s">
        <v>128</v>
      </c>
      <c r="S12" s="58" t="str">
        <f t="shared" si="8"/>
        <v/>
      </c>
      <c r="T12" s="238"/>
      <c r="U12" s="239"/>
      <c r="V12" s="240"/>
      <c r="W12" s="55">
        <f t="shared" si="9"/>
        <v>8</v>
      </c>
      <c r="X12" s="56" t="str">
        <f t="shared" si="10"/>
        <v>fr</v>
      </c>
      <c r="Y12" s="57" t="s">
        <v>128</v>
      </c>
      <c r="Z12" s="58" t="str">
        <f t="shared" si="11"/>
        <v/>
      </c>
      <c r="AA12" s="238"/>
      <c r="AB12" s="239"/>
      <c r="AC12" s="240"/>
      <c r="AD12" s="55">
        <f t="shared" si="12"/>
        <v>8</v>
      </c>
      <c r="AE12" s="56" t="str">
        <f t="shared" si="13"/>
        <v>sø</v>
      </c>
      <c r="AF12" s="57" t="s">
        <v>77</v>
      </c>
      <c r="AG12" s="58" t="str">
        <f t="shared" si="14"/>
        <v/>
      </c>
      <c r="AH12" s="238"/>
      <c r="AI12" s="239"/>
      <c r="AJ12" s="240"/>
      <c r="AK12" s="55">
        <f t="shared" si="15"/>
        <v>8</v>
      </c>
      <c r="AL12" s="56" t="str">
        <f t="shared" si="16"/>
        <v>on</v>
      </c>
      <c r="AM12" s="57" t="s">
        <v>128</v>
      </c>
      <c r="AN12" s="58" t="str">
        <f t="shared" si="17"/>
        <v/>
      </c>
      <c r="AO12" s="241"/>
      <c r="AP12" s="242"/>
      <c r="AQ12" s="243"/>
      <c r="AR12" s="55">
        <f t="shared" si="18"/>
        <v>8</v>
      </c>
      <c r="AS12" s="56" t="str">
        <f t="shared" si="19"/>
        <v>lø</v>
      </c>
      <c r="AT12" s="57" t="s">
        <v>77</v>
      </c>
      <c r="AU12" s="58" t="str">
        <f t="shared" si="20"/>
        <v/>
      </c>
      <c r="AV12" s="238"/>
      <c r="AW12" s="239"/>
      <c r="AX12" s="240"/>
      <c r="AY12" s="55">
        <f t="shared" si="21"/>
        <v>8</v>
      </c>
      <c r="AZ12" s="56" t="str">
        <f t="shared" si="22"/>
        <v>lø</v>
      </c>
      <c r="BA12" s="57" t="s">
        <v>77</v>
      </c>
      <c r="BB12" s="58" t="str">
        <f t="shared" si="23"/>
        <v/>
      </c>
      <c r="BC12" s="238"/>
      <c r="BD12" s="239"/>
      <c r="BE12" s="240"/>
      <c r="BF12" s="55">
        <f t="shared" si="24"/>
        <v>8</v>
      </c>
      <c r="BG12" s="56" t="str">
        <f t="shared" si="25"/>
        <v>ti</v>
      </c>
      <c r="BH12" s="57" t="s">
        <v>128</v>
      </c>
      <c r="BI12" s="58" t="str">
        <f t="shared" si="26"/>
        <v/>
      </c>
      <c r="BJ12" s="238"/>
      <c r="BK12" s="239"/>
      <c r="BL12" s="240"/>
      <c r="BM12" s="55">
        <f t="shared" si="27"/>
        <v>8</v>
      </c>
      <c r="BN12" s="56" t="str">
        <f t="shared" si="28"/>
        <v>to</v>
      </c>
      <c r="BO12" s="57" t="s">
        <v>128</v>
      </c>
      <c r="BP12" s="58" t="str">
        <f t="shared" si="29"/>
        <v/>
      </c>
      <c r="BQ12" s="238"/>
      <c r="BR12" s="239"/>
      <c r="BS12" s="240"/>
      <c r="BT12" s="55">
        <f t="shared" si="30"/>
        <v>8</v>
      </c>
      <c r="BU12" s="56" t="str">
        <f t="shared" si="31"/>
        <v>sø</v>
      </c>
      <c r="BV12" s="57" t="s">
        <v>77</v>
      </c>
      <c r="BW12" s="58" t="str">
        <f t="shared" si="32"/>
        <v/>
      </c>
      <c r="BX12" s="238" t="s">
        <v>106</v>
      </c>
      <c r="BY12" s="239"/>
      <c r="BZ12" s="240"/>
      <c r="CA12" s="55">
        <f t="shared" si="33"/>
        <v>8</v>
      </c>
      <c r="CB12" s="56" t="str">
        <f t="shared" si="34"/>
        <v>ti</v>
      </c>
      <c r="CC12" s="57" t="s">
        <v>132</v>
      </c>
      <c r="CD12" s="58" t="str">
        <f t="shared" si="35"/>
        <v/>
      </c>
      <c r="CE12" s="263" t="s">
        <v>69</v>
      </c>
      <c r="CF12" s="264"/>
      <c r="CG12" s="265"/>
      <c r="CH12" s="75"/>
      <c r="CI12" s="44"/>
      <c r="CJ12" s="44"/>
      <c r="CK12" s="44"/>
      <c r="CL12" s="44"/>
    </row>
    <row r="13" spans="1:90" ht="18" customHeight="1" x14ac:dyDescent="0.2">
      <c r="A13" s="115"/>
      <c r="B13" s="55">
        <f t="shared" si="0"/>
        <v>9</v>
      </c>
      <c r="C13" s="56" t="str">
        <f t="shared" si="1"/>
        <v>fr</v>
      </c>
      <c r="D13" s="57" t="s">
        <v>128</v>
      </c>
      <c r="E13" s="58" t="str">
        <f t="shared" si="2"/>
        <v/>
      </c>
      <c r="F13" s="238"/>
      <c r="G13" s="239"/>
      <c r="H13" s="240"/>
      <c r="I13" s="55">
        <f t="shared" si="3"/>
        <v>9</v>
      </c>
      <c r="J13" s="56" t="str">
        <f t="shared" si="4"/>
        <v>ma</v>
      </c>
      <c r="K13" s="57" t="s">
        <v>128</v>
      </c>
      <c r="L13" s="58">
        <f t="shared" si="5"/>
        <v>37</v>
      </c>
      <c r="M13" s="238"/>
      <c r="N13" s="239"/>
      <c r="O13" s="240"/>
      <c r="P13" s="55">
        <f t="shared" si="6"/>
        <v>9</v>
      </c>
      <c r="Q13" s="56" t="str">
        <f t="shared" si="7"/>
        <v>on</v>
      </c>
      <c r="R13" s="57" t="s">
        <v>128</v>
      </c>
      <c r="S13" s="58" t="str">
        <f t="shared" si="8"/>
        <v/>
      </c>
      <c r="T13" s="238"/>
      <c r="U13" s="239"/>
      <c r="V13" s="240"/>
      <c r="W13" s="55">
        <f t="shared" si="9"/>
        <v>9</v>
      </c>
      <c r="X13" s="56" t="str">
        <f t="shared" si="10"/>
        <v>lø</v>
      </c>
      <c r="Y13" s="57" t="s">
        <v>77</v>
      </c>
      <c r="Z13" s="58" t="str">
        <f t="shared" si="11"/>
        <v/>
      </c>
      <c r="AA13" s="238"/>
      <c r="AB13" s="239"/>
      <c r="AC13" s="240"/>
      <c r="AD13" s="55">
        <f t="shared" si="12"/>
        <v>9</v>
      </c>
      <c r="AE13" s="56" t="str">
        <f t="shared" si="13"/>
        <v>ma</v>
      </c>
      <c r="AF13" s="57" t="s">
        <v>128</v>
      </c>
      <c r="AG13" s="58">
        <f t="shared" si="14"/>
        <v>50</v>
      </c>
      <c r="AH13" s="238"/>
      <c r="AI13" s="239"/>
      <c r="AJ13" s="240"/>
      <c r="AK13" s="55">
        <f t="shared" si="15"/>
        <v>9</v>
      </c>
      <c r="AL13" s="56" t="str">
        <f t="shared" si="16"/>
        <v>to</v>
      </c>
      <c r="AM13" s="57" t="s">
        <v>128</v>
      </c>
      <c r="AN13" s="58" t="str">
        <f t="shared" si="17"/>
        <v/>
      </c>
      <c r="AO13" s="241"/>
      <c r="AP13" s="242"/>
      <c r="AQ13" s="243"/>
      <c r="AR13" s="55">
        <f t="shared" si="18"/>
        <v>9</v>
      </c>
      <c r="AS13" s="56" t="str">
        <f t="shared" si="19"/>
        <v>sø</v>
      </c>
      <c r="AT13" s="57" t="s">
        <v>77</v>
      </c>
      <c r="AU13" s="58" t="str">
        <f t="shared" si="20"/>
        <v/>
      </c>
      <c r="AV13" s="238"/>
      <c r="AW13" s="239"/>
      <c r="AX13" s="240"/>
      <c r="AY13" s="55">
        <f t="shared" si="21"/>
        <v>9</v>
      </c>
      <c r="AZ13" s="56" t="str">
        <f t="shared" si="22"/>
        <v>sø</v>
      </c>
      <c r="BA13" s="57" t="s">
        <v>77</v>
      </c>
      <c r="BB13" s="58" t="str">
        <f t="shared" si="23"/>
        <v/>
      </c>
      <c r="BC13" s="238"/>
      <c r="BD13" s="239"/>
      <c r="BE13" s="240"/>
      <c r="BF13" s="55">
        <f t="shared" si="24"/>
        <v>9</v>
      </c>
      <c r="BG13" s="56" t="str">
        <f t="shared" si="25"/>
        <v>on</v>
      </c>
      <c r="BH13" s="57" t="s">
        <v>128</v>
      </c>
      <c r="BI13" s="58" t="str">
        <f t="shared" si="26"/>
        <v/>
      </c>
      <c r="BJ13" s="238"/>
      <c r="BK13" s="239"/>
      <c r="BL13" s="240"/>
      <c r="BM13" s="55">
        <f t="shared" si="27"/>
        <v>9</v>
      </c>
      <c r="BN13" s="56" t="str">
        <f t="shared" si="28"/>
        <v>fr</v>
      </c>
      <c r="BO13" s="57" t="s">
        <v>128</v>
      </c>
      <c r="BP13" s="58" t="str">
        <f t="shared" si="29"/>
        <v/>
      </c>
      <c r="BQ13" s="238"/>
      <c r="BR13" s="239"/>
      <c r="BS13" s="240"/>
      <c r="BT13" s="55">
        <f t="shared" si="30"/>
        <v>9</v>
      </c>
      <c r="BU13" s="56" t="str">
        <f t="shared" si="31"/>
        <v>ma</v>
      </c>
      <c r="BV13" s="57" t="s">
        <v>76</v>
      </c>
      <c r="BW13" s="58">
        <f t="shared" si="32"/>
        <v>23.714285714285715</v>
      </c>
      <c r="BX13" s="238" t="s">
        <v>103</v>
      </c>
      <c r="BY13" s="239"/>
      <c r="BZ13" s="240"/>
      <c r="CA13" s="55">
        <f t="shared" si="33"/>
        <v>9</v>
      </c>
      <c r="CB13" s="56" t="str">
        <f t="shared" si="34"/>
        <v>on</v>
      </c>
      <c r="CC13" s="57" t="s">
        <v>132</v>
      </c>
      <c r="CD13" s="58" t="str">
        <f t="shared" si="35"/>
        <v/>
      </c>
      <c r="CE13" s="263" t="s">
        <v>69</v>
      </c>
      <c r="CF13" s="264"/>
      <c r="CG13" s="265"/>
      <c r="CH13" s="75"/>
      <c r="CI13" s="44"/>
      <c r="CJ13" s="44"/>
      <c r="CK13" s="44"/>
      <c r="CL13" s="44"/>
    </row>
    <row r="14" spans="1:90" ht="18" customHeight="1" x14ac:dyDescent="0.2">
      <c r="A14" s="244" t="s">
        <v>150</v>
      </c>
      <c r="B14" s="55">
        <f t="shared" si="0"/>
        <v>10</v>
      </c>
      <c r="C14" s="56" t="str">
        <f t="shared" si="1"/>
        <v>lø</v>
      </c>
      <c r="D14" s="57" t="s">
        <v>77</v>
      </c>
      <c r="E14" s="58" t="str">
        <f t="shared" si="2"/>
        <v/>
      </c>
      <c r="F14" s="238"/>
      <c r="G14" s="239"/>
      <c r="H14" s="240"/>
      <c r="I14" s="55">
        <f t="shared" si="3"/>
        <v>10</v>
      </c>
      <c r="J14" s="56" t="str">
        <f t="shared" si="4"/>
        <v>ti</v>
      </c>
      <c r="K14" s="57" t="s">
        <v>128</v>
      </c>
      <c r="L14" s="58" t="str">
        <f t="shared" si="5"/>
        <v/>
      </c>
      <c r="M14" s="238"/>
      <c r="N14" s="239"/>
      <c r="O14" s="240"/>
      <c r="P14" s="55">
        <f t="shared" si="6"/>
        <v>10</v>
      </c>
      <c r="Q14" s="56" t="str">
        <f t="shared" si="7"/>
        <v>to</v>
      </c>
      <c r="R14" s="57" t="s">
        <v>128</v>
      </c>
      <c r="S14" s="58" t="str">
        <f t="shared" si="8"/>
        <v/>
      </c>
      <c r="T14" s="238"/>
      <c r="U14" s="239"/>
      <c r="V14" s="240"/>
      <c r="W14" s="55">
        <f t="shared" si="9"/>
        <v>10</v>
      </c>
      <c r="X14" s="56" t="str">
        <f t="shared" si="10"/>
        <v>sø</v>
      </c>
      <c r="Y14" s="57" t="s">
        <v>77</v>
      </c>
      <c r="Z14" s="58" t="str">
        <f t="shared" si="11"/>
        <v/>
      </c>
      <c r="AA14" s="238"/>
      <c r="AB14" s="239"/>
      <c r="AC14" s="240"/>
      <c r="AD14" s="55">
        <f t="shared" si="12"/>
        <v>10</v>
      </c>
      <c r="AE14" s="56" t="str">
        <f t="shared" si="13"/>
        <v>ti</v>
      </c>
      <c r="AF14" s="57" t="s">
        <v>128</v>
      </c>
      <c r="AG14" s="58" t="str">
        <f t="shared" si="14"/>
        <v/>
      </c>
      <c r="AH14" s="238"/>
      <c r="AI14" s="239"/>
      <c r="AJ14" s="240"/>
      <c r="AK14" s="55">
        <f t="shared" si="15"/>
        <v>10</v>
      </c>
      <c r="AL14" s="56" t="str">
        <f t="shared" si="16"/>
        <v>fr</v>
      </c>
      <c r="AM14" s="57" t="s">
        <v>128</v>
      </c>
      <c r="AN14" s="58" t="str">
        <f t="shared" si="17"/>
        <v/>
      </c>
      <c r="AO14" s="241"/>
      <c r="AP14" s="242"/>
      <c r="AQ14" s="243"/>
      <c r="AR14" s="55">
        <f t="shared" si="18"/>
        <v>10</v>
      </c>
      <c r="AS14" s="56" t="str">
        <f t="shared" si="19"/>
        <v>ma</v>
      </c>
      <c r="AT14" s="57" t="s">
        <v>80</v>
      </c>
      <c r="AU14" s="58">
        <f t="shared" si="20"/>
        <v>6.7142857142857144</v>
      </c>
      <c r="AV14" s="238" t="s">
        <v>82</v>
      </c>
      <c r="AW14" s="239"/>
      <c r="AX14" s="240"/>
      <c r="AY14" s="55">
        <f t="shared" si="21"/>
        <v>10</v>
      </c>
      <c r="AZ14" s="56" t="str">
        <f t="shared" si="22"/>
        <v>ma</v>
      </c>
      <c r="BA14" s="57" t="s">
        <v>128</v>
      </c>
      <c r="BB14" s="58">
        <f t="shared" si="23"/>
        <v>10.714285714285714</v>
      </c>
      <c r="BC14" s="238"/>
      <c r="BD14" s="239"/>
      <c r="BE14" s="240"/>
      <c r="BF14" s="55">
        <f t="shared" si="24"/>
        <v>10</v>
      </c>
      <c r="BG14" s="56" t="str">
        <f t="shared" si="25"/>
        <v>to</v>
      </c>
      <c r="BH14" s="57" t="s">
        <v>128</v>
      </c>
      <c r="BI14" s="58" t="str">
        <f t="shared" si="26"/>
        <v/>
      </c>
      <c r="BJ14" s="238"/>
      <c r="BK14" s="239"/>
      <c r="BL14" s="240"/>
      <c r="BM14" s="55">
        <f t="shared" si="27"/>
        <v>10</v>
      </c>
      <c r="BN14" s="56" t="str">
        <f t="shared" si="28"/>
        <v>lø</v>
      </c>
      <c r="BO14" s="57" t="s">
        <v>77</v>
      </c>
      <c r="BP14" s="58" t="str">
        <f t="shared" si="29"/>
        <v/>
      </c>
      <c r="BQ14" s="238"/>
      <c r="BR14" s="239"/>
      <c r="BS14" s="240"/>
      <c r="BT14" s="55">
        <f t="shared" si="30"/>
        <v>10</v>
      </c>
      <c r="BU14" s="56" t="str">
        <f t="shared" si="31"/>
        <v>ti</v>
      </c>
      <c r="BV14" s="57" t="s">
        <v>128</v>
      </c>
      <c r="BW14" s="58" t="str">
        <f t="shared" si="32"/>
        <v/>
      </c>
      <c r="BX14" s="238"/>
      <c r="BY14" s="239"/>
      <c r="BZ14" s="240"/>
      <c r="CA14" s="55">
        <f t="shared" si="33"/>
        <v>10</v>
      </c>
      <c r="CB14" s="56" t="str">
        <f t="shared" si="34"/>
        <v>to</v>
      </c>
      <c r="CC14" s="57" t="s">
        <v>132</v>
      </c>
      <c r="CD14" s="58" t="str">
        <f t="shared" si="35"/>
        <v/>
      </c>
      <c r="CE14" s="263" t="s">
        <v>69</v>
      </c>
      <c r="CF14" s="264"/>
      <c r="CG14" s="265"/>
      <c r="CH14" s="75"/>
      <c r="CI14" s="44"/>
      <c r="CJ14" s="44"/>
      <c r="CK14" s="44"/>
      <c r="CL14" s="44"/>
    </row>
    <row r="15" spans="1:90" ht="18" customHeight="1" x14ac:dyDescent="0.2">
      <c r="A15" s="244"/>
      <c r="B15" s="55">
        <f t="shared" si="0"/>
        <v>11</v>
      </c>
      <c r="C15" s="56" t="str">
        <f t="shared" si="1"/>
        <v>sø</v>
      </c>
      <c r="D15" s="57" t="s">
        <v>77</v>
      </c>
      <c r="E15" s="58" t="str">
        <f t="shared" si="2"/>
        <v/>
      </c>
      <c r="F15" s="254"/>
      <c r="G15" s="255"/>
      <c r="H15" s="256"/>
      <c r="I15" s="55">
        <f t="shared" si="3"/>
        <v>11</v>
      </c>
      <c r="J15" s="56" t="str">
        <f t="shared" si="4"/>
        <v>on</v>
      </c>
      <c r="K15" s="57" t="s">
        <v>128</v>
      </c>
      <c r="L15" s="58" t="str">
        <f t="shared" si="5"/>
        <v/>
      </c>
      <c r="M15" s="238"/>
      <c r="N15" s="239"/>
      <c r="O15" s="240"/>
      <c r="P15" s="55">
        <f t="shared" si="6"/>
        <v>11</v>
      </c>
      <c r="Q15" s="56" t="str">
        <f t="shared" si="7"/>
        <v>fr</v>
      </c>
      <c r="R15" s="57" t="s">
        <v>133</v>
      </c>
      <c r="S15" s="58" t="str">
        <f t="shared" si="8"/>
        <v/>
      </c>
      <c r="T15" s="238" t="s">
        <v>163</v>
      </c>
      <c r="U15" s="239"/>
      <c r="V15" s="240"/>
      <c r="W15" s="55">
        <f t="shared" si="9"/>
        <v>11</v>
      </c>
      <c r="X15" s="56" t="str">
        <f t="shared" si="10"/>
        <v>ma</v>
      </c>
      <c r="Y15" s="57" t="s">
        <v>128</v>
      </c>
      <c r="Z15" s="58">
        <f t="shared" si="11"/>
        <v>46</v>
      </c>
      <c r="AA15" s="238"/>
      <c r="AB15" s="239"/>
      <c r="AC15" s="240"/>
      <c r="AD15" s="55">
        <f t="shared" si="12"/>
        <v>11</v>
      </c>
      <c r="AE15" s="56" t="str">
        <f t="shared" si="13"/>
        <v>on</v>
      </c>
      <c r="AF15" s="57" t="s">
        <v>128</v>
      </c>
      <c r="AG15" s="58" t="str">
        <f t="shared" si="14"/>
        <v/>
      </c>
      <c r="AH15" s="238"/>
      <c r="AI15" s="239"/>
      <c r="AJ15" s="240"/>
      <c r="AK15" s="55">
        <f t="shared" si="15"/>
        <v>11</v>
      </c>
      <c r="AL15" s="56" t="str">
        <f t="shared" si="16"/>
        <v>lø</v>
      </c>
      <c r="AM15" s="57" t="s">
        <v>75</v>
      </c>
      <c r="AN15" s="58" t="str">
        <f t="shared" si="17"/>
        <v/>
      </c>
      <c r="AO15" s="241"/>
      <c r="AP15" s="242"/>
      <c r="AQ15" s="243"/>
      <c r="AR15" s="55">
        <f t="shared" si="18"/>
        <v>11</v>
      </c>
      <c r="AS15" s="56" t="str">
        <f t="shared" si="19"/>
        <v>ti</v>
      </c>
      <c r="AT15" s="57" t="s">
        <v>80</v>
      </c>
      <c r="AU15" s="58" t="str">
        <f t="shared" si="20"/>
        <v/>
      </c>
      <c r="AV15" s="238" t="s">
        <v>82</v>
      </c>
      <c r="AW15" s="239"/>
      <c r="AX15" s="240"/>
      <c r="AY15" s="55">
        <f t="shared" si="21"/>
        <v>11</v>
      </c>
      <c r="AZ15" s="56" t="str">
        <f t="shared" si="22"/>
        <v>ti</v>
      </c>
      <c r="BA15" s="57" t="s">
        <v>128</v>
      </c>
      <c r="BB15" s="58" t="str">
        <f t="shared" si="23"/>
        <v/>
      </c>
      <c r="BC15" s="238"/>
      <c r="BD15" s="239"/>
      <c r="BE15" s="240"/>
      <c r="BF15" s="55">
        <f t="shared" si="24"/>
        <v>11</v>
      </c>
      <c r="BG15" s="56" t="str">
        <f t="shared" si="25"/>
        <v>fr</v>
      </c>
      <c r="BH15" s="57" t="s">
        <v>128</v>
      </c>
      <c r="BI15" s="58" t="str">
        <f t="shared" si="26"/>
        <v/>
      </c>
      <c r="BJ15" s="238"/>
      <c r="BK15" s="239"/>
      <c r="BL15" s="240"/>
      <c r="BM15" s="55">
        <f t="shared" si="27"/>
        <v>11</v>
      </c>
      <c r="BN15" s="56" t="str">
        <f t="shared" si="28"/>
        <v>sø</v>
      </c>
      <c r="BO15" s="57" t="s">
        <v>77</v>
      </c>
      <c r="BP15" s="58" t="str">
        <f t="shared" si="29"/>
        <v/>
      </c>
      <c r="BQ15" s="238"/>
      <c r="BR15" s="239"/>
      <c r="BS15" s="240"/>
      <c r="BT15" s="55">
        <f t="shared" si="30"/>
        <v>11</v>
      </c>
      <c r="BU15" s="56" t="str">
        <f t="shared" si="31"/>
        <v>on</v>
      </c>
      <c r="BV15" s="57" t="s">
        <v>128</v>
      </c>
      <c r="BW15" s="58" t="str">
        <f t="shared" si="32"/>
        <v/>
      </c>
      <c r="BX15" s="238"/>
      <c r="BY15" s="239"/>
      <c r="BZ15" s="240"/>
      <c r="CA15" s="55">
        <f t="shared" si="33"/>
        <v>11</v>
      </c>
      <c r="CB15" s="56" t="str">
        <f t="shared" si="34"/>
        <v>fr</v>
      </c>
      <c r="CC15" s="57" t="s">
        <v>132</v>
      </c>
      <c r="CD15" s="58" t="str">
        <f t="shared" si="35"/>
        <v/>
      </c>
      <c r="CE15" s="263" t="s">
        <v>69</v>
      </c>
      <c r="CF15" s="264"/>
      <c r="CG15" s="265"/>
      <c r="CH15" s="75"/>
      <c r="CI15" s="44"/>
      <c r="CJ15" s="44"/>
      <c r="CK15" s="44"/>
      <c r="CL15" s="44"/>
    </row>
    <row r="16" spans="1:90" ht="18.95" customHeight="1" x14ac:dyDescent="0.2">
      <c r="A16" s="244"/>
      <c r="B16" s="55">
        <f>IF(ISNUMBER(B15),B15+1,1)</f>
        <v>12</v>
      </c>
      <c r="C16" s="56" t="str">
        <f>CHOOSE(MOD(WEEKDAY(DATE(B$3,B$2,B16)),7)+1,"lø","sø","ma","ti","on","to","fr",)</f>
        <v>ma</v>
      </c>
      <c r="D16" s="57" t="s">
        <v>128</v>
      </c>
      <c r="E16" s="58">
        <f>IF(C16="ma",(DATE(B$3,B$2,B16)-DATE(B$3,1,1)+7)/7,"")</f>
        <v>33</v>
      </c>
      <c r="F16" s="238"/>
      <c r="G16" s="239"/>
      <c r="H16" s="240"/>
      <c r="I16" s="55">
        <f t="shared" si="3"/>
        <v>12</v>
      </c>
      <c r="J16" s="56" t="str">
        <f t="shared" si="4"/>
        <v>to</v>
      </c>
      <c r="K16" s="57" t="s">
        <v>128</v>
      </c>
      <c r="L16" s="58" t="str">
        <f t="shared" si="5"/>
        <v/>
      </c>
      <c r="M16" s="241"/>
      <c r="N16" s="242"/>
      <c r="O16" s="243"/>
      <c r="P16" s="55">
        <f t="shared" si="6"/>
        <v>12</v>
      </c>
      <c r="Q16" s="56" t="str">
        <f t="shared" si="7"/>
        <v>lø</v>
      </c>
      <c r="R16" s="57" t="s">
        <v>75</v>
      </c>
      <c r="S16" s="58" t="str">
        <f t="shared" si="8"/>
        <v/>
      </c>
      <c r="T16" s="241"/>
      <c r="U16" s="242"/>
      <c r="V16" s="243"/>
      <c r="W16" s="55">
        <f t="shared" si="9"/>
        <v>12</v>
      </c>
      <c r="X16" s="56" t="str">
        <f t="shared" si="10"/>
        <v>ti</v>
      </c>
      <c r="Y16" s="57" t="s">
        <v>128</v>
      </c>
      <c r="Z16" s="58" t="str">
        <f t="shared" si="11"/>
        <v/>
      </c>
      <c r="AA16" s="241"/>
      <c r="AB16" s="242"/>
      <c r="AC16" s="243"/>
      <c r="AD16" s="55">
        <f t="shared" si="12"/>
        <v>12</v>
      </c>
      <c r="AE16" s="56" t="str">
        <f t="shared" si="13"/>
        <v>to</v>
      </c>
      <c r="AF16" s="57" t="s">
        <v>128</v>
      </c>
      <c r="AG16" s="58" t="str">
        <f t="shared" si="14"/>
        <v/>
      </c>
      <c r="AH16" s="241"/>
      <c r="AI16" s="242"/>
      <c r="AJ16" s="243"/>
      <c r="AK16" s="55">
        <f t="shared" si="15"/>
        <v>12</v>
      </c>
      <c r="AL16" s="56" t="str">
        <f t="shared" si="16"/>
        <v>sø</v>
      </c>
      <c r="AM16" s="57" t="s">
        <v>75</v>
      </c>
      <c r="AN16" s="58" t="str">
        <f t="shared" si="17"/>
        <v/>
      </c>
      <c r="AO16" s="241"/>
      <c r="AP16" s="242"/>
      <c r="AQ16" s="243"/>
      <c r="AR16" s="55">
        <f t="shared" si="18"/>
        <v>12</v>
      </c>
      <c r="AS16" s="56" t="str">
        <f t="shared" si="19"/>
        <v>on</v>
      </c>
      <c r="AT16" s="57" t="s">
        <v>80</v>
      </c>
      <c r="AU16" s="58" t="str">
        <f t="shared" si="20"/>
        <v/>
      </c>
      <c r="AV16" s="241" t="s">
        <v>82</v>
      </c>
      <c r="AW16" s="242"/>
      <c r="AX16" s="243"/>
      <c r="AY16" s="55">
        <f t="shared" si="21"/>
        <v>12</v>
      </c>
      <c r="AZ16" s="56" t="str">
        <f t="shared" si="22"/>
        <v>on</v>
      </c>
      <c r="BA16" s="57" t="s">
        <v>128</v>
      </c>
      <c r="BB16" s="58" t="str">
        <f t="shared" si="23"/>
        <v/>
      </c>
      <c r="BC16" s="241"/>
      <c r="BD16" s="242"/>
      <c r="BE16" s="243"/>
      <c r="BF16" s="55">
        <f t="shared" si="24"/>
        <v>12</v>
      </c>
      <c r="BG16" s="56" t="str">
        <f t="shared" si="25"/>
        <v>lø</v>
      </c>
      <c r="BH16" s="57" t="s">
        <v>77</v>
      </c>
      <c r="BI16" s="58" t="str">
        <f t="shared" si="26"/>
        <v/>
      </c>
      <c r="BJ16" s="241"/>
      <c r="BK16" s="242"/>
      <c r="BL16" s="243"/>
      <c r="BM16" s="55">
        <f t="shared" si="27"/>
        <v>12</v>
      </c>
      <c r="BN16" s="56" t="str">
        <f t="shared" si="28"/>
        <v>ma</v>
      </c>
      <c r="BO16" s="57" t="s">
        <v>128</v>
      </c>
      <c r="BP16" s="58">
        <f t="shared" si="29"/>
        <v>19.714285714285715</v>
      </c>
      <c r="BQ16" s="241"/>
      <c r="BR16" s="242"/>
      <c r="BS16" s="243"/>
      <c r="BT16" s="55">
        <f t="shared" si="30"/>
        <v>12</v>
      </c>
      <c r="BU16" s="56" t="str">
        <f t="shared" si="31"/>
        <v>to</v>
      </c>
      <c r="BV16" s="57" t="s">
        <v>128</v>
      </c>
      <c r="BW16" s="58" t="str">
        <f t="shared" si="32"/>
        <v/>
      </c>
      <c r="BX16" s="241"/>
      <c r="BY16" s="242"/>
      <c r="BZ16" s="243"/>
      <c r="CA16" s="55">
        <f t="shared" si="33"/>
        <v>12</v>
      </c>
      <c r="CB16" s="56" t="str">
        <f t="shared" si="34"/>
        <v>lø</v>
      </c>
      <c r="CC16" s="57" t="s">
        <v>77</v>
      </c>
      <c r="CD16" s="58" t="str">
        <f t="shared" si="35"/>
        <v/>
      </c>
      <c r="CE16" s="241" t="s">
        <v>69</v>
      </c>
      <c r="CF16" s="242"/>
      <c r="CG16" s="243"/>
      <c r="CH16" s="75"/>
      <c r="CI16" s="44"/>
      <c r="CJ16" s="44"/>
      <c r="CK16" s="44"/>
      <c r="CL16" s="44"/>
    </row>
    <row r="17" spans="1:90" ht="18" customHeight="1" x14ac:dyDescent="0.2">
      <c r="A17" s="244"/>
      <c r="B17" s="55">
        <f>IF(ISNUMBER(B16),B16+1,1)</f>
        <v>13</v>
      </c>
      <c r="C17" s="56" t="str">
        <f t="shared" si="1"/>
        <v>ti</v>
      </c>
      <c r="D17" s="57" t="s">
        <v>128</v>
      </c>
      <c r="E17" s="58" t="str">
        <f t="shared" si="2"/>
        <v/>
      </c>
      <c r="F17" s="241"/>
      <c r="G17" s="242"/>
      <c r="H17" s="243"/>
      <c r="I17" s="55">
        <f t="shared" si="3"/>
        <v>13</v>
      </c>
      <c r="J17" s="56" t="str">
        <f t="shared" si="4"/>
        <v>fr</v>
      </c>
      <c r="K17" s="57" t="s">
        <v>128</v>
      </c>
      <c r="L17" s="58" t="str">
        <f t="shared" si="5"/>
        <v/>
      </c>
      <c r="M17" s="241"/>
      <c r="N17" s="242"/>
      <c r="O17" s="243"/>
      <c r="P17" s="55">
        <f t="shared" si="6"/>
        <v>13</v>
      </c>
      <c r="Q17" s="56" t="str">
        <f t="shared" si="7"/>
        <v>sø</v>
      </c>
      <c r="R17" s="57" t="s">
        <v>75</v>
      </c>
      <c r="S17" s="58" t="str">
        <f t="shared" si="8"/>
        <v/>
      </c>
      <c r="T17" s="241"/>
      <c r="U17" s="242"/>
      <c r="V17" s="243"/>
      <c r="W17" s="55">
        <f t="shared" si="9"/>
        <v>13</v>
      </c>
      <c r="X17" s="56" t="str">
        <f t="shared" si="10"/>
        <v>on</v>
      </c>
      <c r="Y17" s="57" t="s">
        <v>128</v>
      </c>
      <c r="Z17" s="58" t="str">
        <f t="shared" si="11"/>
        <v/>
      </c>
      <c r="AA17" s="241"/>
      <c r="AB17" s="242"/>
      <c r="AC17" s="243"/>
      <c r="AD17" s="55">
        <f t="shared" si="12"/>
        <v>13</v>
      </c>
      <c r="AE17" s="56" t="str">
        <f t="shared" si="13"/>
        <v>fr</v>
      </c>
      <c r="AF17" s="57" t="s">
        <v>128</v>
      </c>
      <c r="AG17" s="58" t="str">
        <f t="shared" si="14"/>
        <v/>
      </c>
      <c r="AH17" s="241"/>
      <c r="AI17" s="242"/>
      <c r="AJ17" s="243"/>
      <c r="AK17" s="55">
        <f t="shared" si="15"/>
        <v>13</v>
      </c>
      <c r="AL17" s="56" t="str">
        <f t="shared" si="16"/>
        <v>ma</v>
      </c>
      <c r="AM17" s="57" t="s">
        <v>128</v>
      </c>
      <c r="AN17" s="58">
        <f t="shared" si="17"/>
        <v>2.7142857142857144</v>
      </c>
      <c r="AO17" s="241"/>
      <c r="AP17" s="242"/>
      <c r="AQ17" s="243"/>
      <c r="AR17" s="55">
        <f t="shared" si="18"/>
        <v>13</v>
      </c>
      <c r="AS17" s="56" t="str">
        <f t="shared" si="19"/>
        <v>to</v>
      </c>
      <c r="AT17" s="57" t="s">
        <v>80</v>
      </c>
      <c r="AU17" s="58" t="str">
        <f t="shared" si="20"/>
        <v/>
      </c>
      <c r="AV17" s="241" t="s">
        <v>82</v>
      </c>
      <c r="AW17" s="242"/>
      <c r="AX17" s="243"/>
      <c r="AY17" s="55">
        <f t="shared" si="21"/>
        <v>13</v>
      </c>
      <c r="AZ17" s="56" t="str">
        <f t="shared" si="22"/>
        <v>to</v>
      </c>
      <c r="BA17" s="57" t="s">
        <v>128</v>
      </c>
      <c r="BB17" s="58" t="str">
        <f t="shared" si="23"/>
        <v/>
      </c>
      <c r="BC17" s="241"/>
      <c r="BD17" s="242"/>
      <c r="BE17" s="243"/>
      <c r="BF17" s="55">
        <f t="shared" si="24"/>
        <v>13</v>
      </c>
      <c r="BG17" s="56" t="str">
        <f t="shared" si="25"/>
        <v>sø</v>
      </c>
      <c r="BH17" s="57" t="s">
        <v>77</v>
      </c>
      <c r="BI17" s="58" t="str">
        <f t="shared" si="26"/>
        <v/>
      </c>
      <c r="BJ17" s="241" t="s">
        <v>105</v>
      </c>
      <c r="BK17" s="242"/>
      <c r="BL17" s="243"/>
      <c r="BM17" s="55">
        <f t="shared" si="27"/>
        <v>13</v>
      </c>
      <c r="BN17" s="56" t="str">
        <f t="shared" si="28"/>
        <v>ti</v>
      </c>
      <c r="BO17" s="57" t="s">
        <v>128</v>
      </c>
      <c r="BP17" s="58" t="str">
        <f t="shared" si="29"/>
        <v/>
      </c>
      <c r="BQ17" s="241"/>
      <c r="BR17" s="242"/>
      <c r="BS17" s="243"/>
      <c r="BT17" s="55">
        <f t="shared" si="30"/>
        <v>13</v>
      </c>
      <c r="BU17" s="56" t="str">
        <f t="shared" si="31"/>
        <v>fr</v>
      </c>
      <c r="BV17" s="57" t="s">
        <v>128</v>
      </c>
      <c r="BW17" s="58" t="str">
        <f t="shared" si="32"/>
        <v/>
      </c>
      <c r="BX17" s="241"/>
      <c r="BY17" s="242"/>
      <c r="BZ17" s="243"/>
      <c r="CA17" s="55">
        <f t="shared" si="33"/>
        <v>13</v>
      </c>
      <c r="CB17" s="56" t="str">
        <f t="shared" si="34"/>
        <v>sø</v>
      </c>
      <c r="CC17" s="57" t="s">
        <v>77</v>
      </c>
      <c r="CD17" s="58" t="str">
        <f t="shared" si="35"/>
        <v/>
      </c>
      <c r="CE17" s="241" t="s">
        <v>69</v>
      </c>
      <c r="CF17" s="242"/>
      <c r="CG17" s="243"/>
      <c r="CH17" s="75"/>
      <c r="CI17" s="44"/>
      <c r="CJ17" s="44"/>
      <c r="CK17" s="44"/>
      <c r="CL17" s="44"/>
    </row>
    <row r="18" spans="1:90" ht="18" customHeight="1" x14ac:dyDescent="0.2">
      <c r="A18" s="244"/>
      <c r="B18" s="55">
        <f t="shared" si="0"/>
        <v>14</v>
      </c>
      <c r="C18" s="56" t="str">
        <f t="shared" si="1"/>
        <v>on</v>
      </c>
      <c r="D18" s="57" t="s">
        <v>128</v>
      </c>
      <c r="E18" s="58" t="str">
        <f t="shared" si="2"/>
        <v/>
      </c>
      <c r="F18" s="241"/>
      <c r="G18" s="242"/>
      <c r="H18" s="243"/>
      <c r="I18" s="55">
        <f t="shared" si="3"/>
        <v>14</v>
      </c>
      <c r="J18" s="56" t="str">
        <f t="shared" si="4"/>
        <v>lø</v>
      </c>
      <c r="K18" s="57" t="s">
        <v>77</v>
      </c>
      <c r="L18" s="58" t="str">
        <f t="shared" si="5"/>
        <v/>
      </c>
      <c r="M18" s="241"/>
      <c r="N18" s="242"/>
      <c r="O18" s="243"/>
      <c r="P18" s="55">
        <f t="shared" si="6"/>
        <v>14</v>
      </c>
      <c r="Q18" s="56" t="str">
        <f t="shared" si="7"/>
        <v>ma</v>
      </c>
      <c r="R18" s="57" t="s">
        <v>132</v>
      </c>
      <c r="S18" s="58">
        <f t="shared" si="8"/>
        <v>42</v>
      </c>
      <c r="T18" s="241" t="s">
        <v>85</v>
      </c>
      <c r="U18" s="242"/>
      <c r="V18" s="243"/>
      <c r="W18" s="55">
        <f t="shared" si="9"/>
        <v>14</v>
      </c>
      <c r="X18" s="56" t="str">
        <f t="shared" si="10"/>
        <v>to</v>
      </c>
      <c r="Y18" s="57" t="s">
        <v>128</v>
      </c>
      <c r="Z18" s="58" t="str">
        <f t="shared" si="11"/>
        <v/>
      </c>
      <c r="AA18" s="241"/>
      <c r="AB18" s="242"/>
      <c r="AC18" s="243"/>
      <c r="AD18" s="55">
        <f t="shared" si="12"/>
        <v>14</v>
      </c>
      <c r="AE18" s="56" t="str">
        <f t="shared" si="13"/>
        <v>lø</v>
      </c>
      <c r="AF18" s="57" t="s">
        <v>77</v>
      </c>
      <c r="AG18" s="58" t="str">
        <f t="shared" si="14"/>
        <v/>
      </c>
      <c r="AH18" s="241"/>
      <c r="AI18" s="242"/>
      <c r="AJ18" s="243"/>
      <c r="AK18" s="55">
        <f t="shared" si="15"/>
        <v>14</v>
      </c>
      <c r="AL18" s="56" t="str">
        <f t="shared" si="16"/>
        <v>ti</v>
      </c>
      <c r="AM18" s="57" t="s">
        <v>128</v>
      </c>
      <c r="AN18" s="58" t="str">
        <f t="shared" si="17"/>
        <v/>
      </c>
      <c r="AO18" s="241"/>
      <c r="AP18" s="242"/>
      <c r="AQ18" s="243"/>
      <c r="AR18" s="55">
        <f t="shared" si="18"/>
        <v>14</v>
      </c>
      <c r="AS18" s="56" t="str">
        <f t="shared" si="19"/>
        <v>fr</v>
      </c>
      <c r="AT18" s="57" t="s">
        <v>80</v>
      </c>
      <c r="AU18" s="58" t="str">
        <f t="shared" si="20"/>
        <v/>
      </c>
      <c r="AV18" s="241" t="s">
        <v>82</v>
      </c>
      <c r="AW18" s="242"/>
      <c r="AX18" s="243"/>
      <c r="AY18" s="55">
        <f t="shared" si="21"/>
        <v>14</v>
      </c>
      <c r="AZ18" s="56" t="str">
        <f t="shared" si="22"/>
        <v>fr</v>
      </c>
      <c r="BA18" s="57" t="s">
        <v>128</v>
      </c>
      <c r="BB18" s="58" t="str">
        <f t="shared" si="23"/>
        <v/>
      </c>
      <c r="BC18" s="241"/>
      <c r="BD18" s="242"/>
      <c r="BE18" s="243"/>
      <c r="BF18" s="55">
        <f t="shared" si="24"/>
        <v>14</v>
      </c>
      <c r="BG18" s="56" t="str">
        <f t="shared" si="25"/>
        <v>ma</v>
      </c>
      <c r="BH18" s="57" t="s">
        <v>80</v>
      </c>
      <c r="BI18" s="58">
        <f t="shared" si="26"/>
        <v>15.714285714285714</v>
      </c>
      <c r="BJ18" s="241"/>
      <c r="BK18" s="242"/>
      <c r="BL18" s="243"/>
      <c r="BM18" s="55">
        <f t="shared" si="27"/>
        <v>14</v>
      </c>
      <c r="BN18" s="56" t="str">
        <f t="shared" si="28"/>
        <v>on</v>
      </c>
      <c r="BO18" s="57" t="s">
        <v>128</v>
      </c>
      <c r="BP18" s="58" t="str">
        <f t="shared" si="29"/>
        <v/>
      </c>
      <c r="BQ18" s="241"/>
      <c r="BR18" s="242"/>
      <c r="BS18" s="243"/>
      <c r="BT18" s="55">
        <f t="shared" si="30"/>
        <v>14</v>
      </c>
      <c r="BU18" s="56" t="str">
        <f t="shared" si="31"/>
        <v>lø</v>
      </c>
      <c r="BV18" s="57" t="s">
        <v>77</v>
      </c>
      <c r="BW18" s="58" t="str">
        <f t="shared" si="32"/>
        <v/>
      </c>
      <c r="BX18" s="241"/>
      <c r="BY18" s="242"/>
      <c r="BZ18" s="243"/>
      <c r="CA18" s="55">
        <f t="shared" si="33"/>
        <v>14</v>
      </c>
      <c r="CB18" s="56" t="str">
        <f t="shared" si="34"/>
        <v>ma</v>
      </c>
      <c r="CC18" s="57" t="s">
        <v>132</v>
      </c>
      <c r="CD18" s="58">
        <f t="shared" si="35"/>
        <v>28.714285714285715</v>
      </c>
      <c r="CE18" s="241" t="s">
        <v>69</v>
      </c>
      <c r="CF18" s="242"/>
      <c r="CG18" s="243"/>
      <c r="CH18" s="75"/>
      <c r="CI18" s="44"/>
      <c r="CJ18" s="44"/>
      <c r="CK18" s="44"/>
      <c r="CL18" s="44"/>
    </row>
    <row r="19" spans="1:90" ht="18" customHeight="1" x14ac:dyDescent="0.2">
      <c r="A19" s="247"/>
      <c r="B19" s="55">
        <f t="shared" si="0"/>
        <v>15</v>
      </c>
      <c r="C19" s="56" t="str">
        <f t="shared" si="1"/>
        <v>to</v>
      </c>
      <c r="D19" s="57" t="s">
        <v>128</v>
      </c>
      <c r="E19" s="58" t="str">
        <f t="shared" si="2"/>
        <v/>
      </c>
      <c r="F19" s="241"/>
      <c r="G19" s="242"/>
      <c r="H19" s="243"/>
      <c r="I19" s="55">
        <f t="shared" si="3"/>
        <v>15</v>
      </c>
      <c r="J19" s="56" t="str">
        <f t="shared" si="4"/>
        <v>sø</v>
      </c>
      <c r="K19" s="57" t="s">
        <v>77</v>
      </c>
      <c r="L19" s="58" t="str">
        <f t="shared" si="5"/>
        <v/>
      </c>
      <c r="M19" s="241"/>
      <c r="N19" s="242"/>
      <c r="O19" s="243"/>
      <c r="P19" s="55">
        <f t="shared" si="6"/>
        <v>15</v>
      </c>
      <c r="Q19" s="56" t="str">
        <f t="shared" si="7"/>
        <v>ti</v>
      </c>
      <c r="R19" s="57" t="s">
        <v>132</v>
      </c>
      <c r="S19" s="58" t="str">
        <f t="shared" si="8"/>
        <v/>
      </c>
      <c r="T19" s="241" t="s">
        <v>85</v>
      </c>
      <c r="U19" s="242"/>
      <c r="V19" s="243"/>
      <c r="W19" s="55">
        <f t="shared" si="9"/>
        <v>15</v>
      </c>
      <c r="X19" s="56" t="str">
        <f t="shared" si="10"/>
        <v>fr</v>
      </c>
      <c r="Y19" s="57" t="s">
        <v>128</v>
      </c>
      <c r="Z19" s="58" t="str">
        <f t="shared" si="11"/>
        <v/>
      </c>
      <c r="AA19" s="241"/>
      <c r="AB19" s="242"/>
      <c r="AC19" s="243"/>
      <c r="AD19" s="55">
        <f t="shared" si="12"/>
        <v>15</v>
      </c>
      <c r="AE19" s="56" t="str">
        <f t="shared" si="13"/>
        <v>sø</v>
      </c>
      <c r="AF19" s="57" t="s">
        <v>77</v>
      </c>
      <c r="AG19" s="58" t="str">
        <f t="shared" si="14"/>
        <v/>
      </c>
      <c r="AH19" s="241"/>
      <c r="AI19" s="242"/>
      <c r="AJ19" s="243"/>
      <c r="AK19" s="55">
        <f t="shared" si="15"/>
        <v>15</v>
      </c>
      <c r="AL19" s="56" t="str">
        <f t="shared" si="16"/>
        <v>on</v>
      </c>
      <c r="AM19" s="57" t="s">
        <v>128</v>
      </c>
      <c r="AN19" s="58" t="str">
        <f t="shared" si="17"/>
        <v/>
      </c>
      <c r="AO19" s="241"/>
      <c r="AP19" s="242"/>
      <c r="AQ19" s="243"/>
      <c r="AR19" s="55">
        <f t="shared" si="18"/>
        <v>15</v>
      </c>
      <c r="AS19" s="56" t="str">
        <f t="shared" si="19"/>
        <v>lø</v>
      </c>
      <c r="AT19" s="57" t="s">
        <v>77</v>
      </c>
      <c r="AU19" s="58" t="str">
        <f t="shared" si="20"/>
        <v/>
      </c>
      <c r="AV19" s="241"/>
      <c r="AW19" s="242"/>
      <c r="AX19" s="243"/>
      <c r="AY19" s="55">
        <f t="shared" si="21"/>
        <v>15</v>
      </c>
      <c r="AZ19" s="56" t="str">
        <f t="shared" si="22"/>
        <v>lø</v>
      </c>
      <c r="BA19" s="57" t="s">
        <v>77</v>
      </c>
      <c r="BB19" s="58" t="str">
        <f t="shared" si="23"/>
        <v/>
      </c>
      <c r="BC19" s="241"/>
      <c r="BD19" s="242"/>
      <c r="BE19" s="243"/>
      <c r="BF19" s="55">
        <f t="shared" si="24"/>
        <v>15</v>
      </c>
      <c r="BG19" s="56" t="str">
        <f t="shared" si="25"/>
        <v>ti</v>
      </c>
      <c r="BH19" s="57" t="s">
        <v>80</v>
      </c>
      <c r="BI19" s="58" t="str">
        <f t="shared" si="26"/>
        <v/>
      </c>
      <c r="BJ19" s="241"/>
      <c r="BK19" s="242"/>
      <c r="BL19" s="243"/>
      <c r="BM19" s="55">
        <f t="shared" si="27"/>
        <v>15</v>
      </c>
      <c r="BN19" s="56" t="str">
        <f t="shared" si="28"/>
        <v>to</v>
      </c>
      <c r="BO19" s="57" t="s">
        <v>128</v>
      </c>
      <c r="BP19" s="58" t="str">
        <f t="shared" si="29"/>
        <v/>
      </c>
      <c r="BQ19" s="241"/>
      <c r="BR19" s="242"/>
      <c r="BS19" s="243"/>
      <c r="BT19" s="55">
        <f t="shared" si="30"/>
        <v>15</v>
      </c>
      <c r="BU19" s="56" t="str">
        <f t="shared" si="31"/>
        <v>sø</v>
      </c>
      <c r="BV19" s="57" t="s">
        <v>77</v>
      </c>
      <c r="BW19" s="58" t="str">
        <f t="shared" si="32"/>
        <v/>
      </c>
      <c r="BX19" s="241"/>
      <c r="BY19" s="242"/>
      <c r="BZ19" s="243"/>
      <c r="CA19" s="55">
        <f t="shared" si="33"/>
        <v>15</v>
      </c>
      <c r="CB19" s="56" t="str">
        <f t="shared" si="34"/>
        <v>ti</v>
      </c>
      <c r="CC19" s="57" t="s">
        <v>132</v>
      </c>
      <c r="CD19" s="58" t="str">
        <f t="shared" si="35"/>
        <v/>
      </c>
      <c r="CE19" s="263" t="s">
        <v>69</v>
      </c>
      <c r="CF19" s="264"/>
      <c r="CG19" s="265"/>
      <c r="CH19" s="75"/>
      <c r="CI19" s="44"/>
      <c r="CJ19" s="44"/>
      <c r="CK19" s="44"/>
      <c r="CL19" s="44"/>
    </row>
    <row r="20" spans="1:90" ht="18" customHeight="1" x14ac:dyDescent="0.2">
      <c r="A20" s="247"/>
      <c r="B20" s="55">
        <f>IF(ISNUMBER(B19),B19+1,1)</f>
        <v>16</v>
      </c>
      <c r="C20" s="56" t="str">
        <f t="shared" si="1"/>
        <v>fr</v>
      </c>
      <c r="D20" s="57" t="s">
        <v>128</v>
      </c>
      <c r="E20" s="58" t="str">
        <f t="shared" si="2"/>
        <v/>
      </c>
      <c r="F20" s="238"/>
      <c r="G20" s="239"/>
      <c r="H20" s="240"/>
      <c r="I20" s="55">
        <f>IF(ISNUMBER(I19),I19+1,1)</f>
        <v>16</v>
      </c>
      <c r="J20" s="56" t="str">
        <f t="shared" si="4"/>
        <v>ma</v>
      </c>
      <c r="K20" s="57" t="s">
        <v>128</v>
      </c>
      <c r="L20" s="58">
        <f t="shared" si="5"/>
        <v>38</v>
      </c>
      <c r="M20" s="238"/>
      <c r="N20" s="239"/>
      <c r="O20" s="240"/>
      <c r="P20" s="55">
        <f>IF(ISNUMBER(P19),P19+1,1)</f>
        <v>16</v>
      </c>
      <c r="Q20" s="56" t="str">
        <f t="shared" si="7"/>
        <v>on</v>
      </c>
      <c r="R20" s="57" t="s">
        <v>132</v>
      </c>
      <c r="S20" s="58" t="str">
        <f t="shared" si="8"/>
        <v/>
      </c>
      <c r="T20" s="238" t="s">
        <v>85</v>
      </c>
      <c r="U20" s="239"/>
      <c r="V20" s="240"/>
      <c r="W20" s="55">
        <f>IF(ISNUMBER(W19),W19+1,1)</f>
        <v>16</v>
      </c>
      <c r="X20" s="56" t="str">
        <f t="shared" si="10"/>
        <v>lø</v>
      </c>
      <c r="Y20" s="57" t="s">
        <v>77</v>
      </c>
      <c r="Z20" s="58" t="str">
        <f t="shared" si="11"/>
        <v/>
      </c>
      <c r="AA20" s="238"/>
      <c r="AB20" s="239"/>
      <c r="AC20" s="240"/>
      <c r="AD20" s="55">
        <f>IF(ISNUMBER(AD19),AD19+1,1)</f>
        <v>16</v>
      </c>
      <c r="AE20" s="56" t="str">
        <f t="shared" si="13"/>
        <v>ma</v>
      </c>
      <c r="AF20" s="57" t="s">
        <v>128</v>
      </c>
      <c r="AG20" s="58">
        <f t="shared" si="14"/>
        <v>51</v>
      </c>
      <c r="AH20" s="238"/>
      <c r="AI20" s="239"/>
      <c r="AJ20" s="240"/>
      <c r="AK20" s="55">
        <f>IF(ISNUMBER(AK19),AK19+1,1)</f>
        <v>16</v>
      </c>
      <c r="AL20" s="56" t="str">
        <f t="shared" si="16"/>
        <v>to</v>
      </c>
      <c r="AM20" s="57" t="s">
        <v>128</v>
      </c>
      <c r="AN20" s="58" t="str">
        <f t="shared" si="17"/>
        <v/>
      </c>
      <c r="AO20" s="241"/>
      <c r="AP20" s="242"/>
      <c r="AQ20" s="243"/>
      <c r="AR20" s="55">
        <f>IF(ISNUMBER(AR19),AR19+1,1)</f>
        <v>16</v>
      </c>
      <c r="AS20" s="56" t="str">
        <f t="shared" si="19"/>
        <v>sø</v>
      </c>
      <c r="AT20" s="57" t="s">
        <v>77</v>
      </c>
      <c r="AU20" s="58" t="str">
        <f t="shared" si="20"/>
        <v/>
      </c>
      <c r="AV20" s="238"/>
      <c r="AW20" s="239"/>
      <c r="AX20" s="240"/>
      <c r="AY20" s="55">
        <f>IF(ISNUMBER(AY19),AY19+1,1)</f>
        <v>16</v>
      </c>
      <c r="AZ20" s="56" t="str">
        <f t="shared" si="22"/>
        <v>sø</v>
      </c>
      <c r="BA20" s="57" t="s">
        <v>77</v>
      </c>
      <c r="BB20" s="58" t="str">
        <f t="shared" si="23"/>
        <v/>
      </c>
      <c r="BC20" s="238"/>
      <c r="BD20" s="239"/>
      <c r="BE20" s="240"/>
      <c r="BF20" s="55">
        <f>IF(ISNUMBER(BF19),BF19+1,1)</f>
        <v>16</v>
      </c>
      <c r="BG20" s="56" t="str">
        <f t="shared" si="25"/>
        <v>on</v>
      </c>
      <c r="BH20" s="57" t="s">
        <v>80</v>
      </c>
      <c r="BI20" s="58" t="str">
        <f t="shared" si="26"/>
        <v/>
      </c>
      <c r="BJ20" s="238"/>
      <c r="BK20" s="239"/>
      <c r="BL20" s="240"/>
      <c r="BM20" s="55">
        <f>IF(ISNUMBER(BM19),BM19+1,1)</f>
        <v>16</v>
      </c>
      <c r="BN20" s="56" t="str">
        <f t="shared" si="28"/>
        <v>fr</v>
      </c>
      <c r="BO20" s="57" t="s">
        <v>128</v>
      </c>
      <c r="BP20" s="58" t="str">
        <f t="shared" si="29"/>
        <v/>
      </c>
      <c r="BQ20" s="238"/>
      <c r="BR20" s="239"/>
      <c r="BS20" s="240"/>
      <c r="BT20" s="55">
        <f>IF(ISNUMBER(BT19),BT19+1,1)</f>
        <v>16</v>
      </c>
      <c r="BU20" s="56" t="str">
        <f t="shared" si="31"/>
        <v>ma</v>
      </c>
      <c r="BV20" s="57" t="s">
        <v>128</v>
      </c>
      <c r="BW20" s="58">
        <f t="shared" si="32"/>
        <v>24.714285714285715</v>
      </c>
      <c r="BX20" s="238"/>
      <c r="BY20" s="239"/>
      <c r="BZ20" s="240"/>
      <c r="CA20" s="55">
        <f>IF(ISNUMBER(CA19),CA19+1,1)</f>
        <v>16</v>
      </c>
      <c r="CB20" s="56" t="str">
        <f t="shared" si="34"/>
        <v>on</v>
      </c>
      <c r="CC20" s="57" t="s">
        <v>132</v>
      </c>
      <c r="CD20" s="58" t="str">
        <f t="shared" si="35"/>
        <v/>
      </c>
      <c r="CE20" s="263" t="s">
        <v>69</v>
      </c>
      <c r="CF20" s="264"/>
      <c r="CG20" s="265"/>
      <c r="CH20" s="75"/>
      <c r="CI20" s="44"/>
      <c r="CJ20" s="44"/>
      <c r="CK20" s="44"/>
      <c r="CL20" s="44"/>
    </row>
    <row r="21" spans="1:90" ht="18" customHeight="1" x14ac:dyDescent="0.2">
      <c r="A21" s="247"/>
      <c r="B21" s="55">
        <f t="shared" si="0"/>
        <v>17</v>
      </c>
      <c r="C21" s="56" t="str">
        <f t="shared" si="1"/>
        <v>lø</v>
      </c>
      <c r="D21" s="57" t="s">
        <v>77</v>
      </c>
      <c r="E21" s="58" t="str">
        <f t="shared" si="2"/>
        <v/>
      </c>
      <c r="F21" s="238"/>
      <c r="G21" s="239"/>
      <c r="H21" s="240"/>
      <c r="I21" s="55">
        <f t="shared" si="3"/>
        <v>17</v>
      </c>
      <c r="J21" s="56" t="str">
        <f t="shared" si="4"/>
        <v>ti</v>
      </c>
      <c r="K21" s="57" t="s">
        <v>128</v>
      </c>
      <c r="L21" s="58" t="str">
        <f t="shared" si="5"/>
        <v/>
      </c>
      <c r="M21" s="238"/>
      <c r="N21" s="239"/>
      <c r="O21" s="240"/>
      <c r="P21" s="55">
        <f t="shared" si="6"/>
        <v>17</v>
      </c>
      <c r="Q21" s="56" t="str">
        <f t="shared" si="7"/>
        <v>to</v>
      </c>
      <c r="R21" s="57" t="s">
        <v>132</v>
      </c>
      <c r="S21" s="58" t="str">
        <f t="shared" si="8"/>
        <v/>
      </c>
      <c r="T21" s="241" t="s">
        <v>85</v>
      </c>
      <c r="U21" s="242"/>
      <c r="V21" s="243"/>
      <c r="W21" s="55">
        <f t="shared" si="9"/>
        <v>17</v>
      </c>
      <c r="X21" s="56" t="str">
        <f t="shared" si="10"/>
        <v>sø</v>
      </c>
      <c r="Y21" s="57" t="s">
        <v>77</v>
      </c>
      <c r="Z21" s="58" t="str">
        <f t="shared" si="11"/>
        <v/>
      </c>
      <c r="AA21" s="238"/>
      <c r="AB21" s="239"/>
      <c r="AC21" s="240"/>
      <c r="AD21" s="55">
        <f t="shared" si="12"/>
        <v>17</v>
      </c>
      <c r="AE21" s="56" t="str">
        <f t="shared" si="13"/>
        <v>ti</v>
      </c>
      <c r="AF21" s="57" t="s">
        <v>128</v>
      </c>
      <c r="AG21" s="58" t="str">
        <f t="shared" si="14"/>
        <v/>
      </c>
      <c r="AH21" s="238"/>
      <c r="AI21" s="239"/>
      <c r="AJ21" s="240"/>
      <c r="AK21" s="55">
        <f t="shared" si="15"/>
        <v>17</v>
      </c>
      <c r="AL21" s="56" t="str">
        <f t="shared" si="16"/>
        <v>fr</v>
      </c>
      <c r="AM21" s="57" t="s">
        <v>128</v>
      </c>
      <c r="AN21" s="58" t="str">
        <f t="shared" si="17"/>
        <v/>
      </c>
      <c r="AO21" s="241"/>
      <c r="AP21" s="242"/>
      <c r="AQ21" s="243"/>
      <c r="AR21" s="55">
        <f t="shared" si="18"/>
        <v>17</v>
      </c>
      <c r="AS21" s="56" t="str">
        <f t="shared" si="19"/>
        <v>ma</v>
      </c>
      <c r="AT21" s="57" t="s">
        <v>128</v>
      </c>
      <c r="AU21" s="58">
        <f t="shared" si="20"/>
        <v>7.7142857142857144</v>
      </c>
      <c r="AV21" s="238"/>
      <c r="AW21" s="239"/>
      <c r="AX21" s="240"/>
      <c r="AY21" s="55">
        <f t="shared" si="21"/>
        <v>17</v>
      </c>
      <c r="AZ21" s="56" t="str">
        <f t="shared" si="22"/>
        <v>ma</v>
      </c>
      <c r="BA21" s="57" t="s">
        <v>128</v>
      </c>
      <c r="BB21" s="58">
        <f t="shared" si="23"/>
        <v>11.714285714285714</v>
      </c>
      <c r="BC21" s="238"/>
      <c r="BD21" s="239"/>
      <c r="BE21" s="240"/>
      <c r="BF21" s="55">
        <f t="shared" si="24"/>
        <v>17</v>
      </c>
      <c r="BG21" s="56" t="str">
        <f t="shared" si="25"/>
        <v>to</v>
      </c>
      <c r="BH21" s="57" t="s">
        <v>76</v>
      </c>
      <c r="BI21" s="58" t="str">
        <f t="shared" si="26"/>
        <v/>
      </c>
      <c r="BJ21" s="238" t="s">
        <v>60</v>
      </c>
      <c r="BK21" s="239"/>
      <c r="BL21" s="240"/>
      <c r="BM21" s="55">
        <f t="shared" si="27"/>
        <v>17</v>
      </c>
      <c r="BN21" s="56" t="str">
        <f t="shared" si="28"/>
        <v>lø</v>
      </c>
      <c r="BO21" s="57" t="s">
        <v>77</v>
      </c>
      <c r="BP21" s="58" t="str">
        <f t="shared" si="29"/>
        <v/>
      </c>
      <c r="BQ21" s="238"/>
      <c r="BR21" s="239"/>
      <c r="BS21" s="240"/>
      <c r="BT21" s="55">
        <f t="shared" si="30"/>
        <v>17</v>
      </c>
      <c r="BU21" s="56" t="str">
        <f t="shared" si="31"/>
        <v>ti</v>
      </c>
      <c r="BV21" s="57" t="s">
        <v>128</v>
      </c>
      <c r="BW21" s="58" t="str">
        <f t="shared" si="32"/>
        <v/>
      </c>
      <c r="BX21" s="238"/>
      <c r="BY21" s="239"/>
      <c r="BZ21" s="240"/>
      <c r="CA21" s="55">
        <f t="shared" si="33"/>
        <v>17</v>
      </c>
      <c r="CB21" s="56" t="str">
        <f t="shared" si="34"/>
        <v>to</v>
      </c>
      <c r="CC21" s="57" t="s">
        <v>132</v>
      </c>
      <c r="CD21" s="58" t="str">
        <f t="shared" si="35"/>
        <v/>
      </c>
      <c r="CE21" s="263" t="s">
        <v>69</v>
      </c>
      <c r="CF21" s="264"/>
      <c r="CG21" s="265"/>
      <c r="CH21" s="75"/>
      <c r="CI21" s="44"/>
      <c r="CJ21" s="44"/>
      <c r="CK21" s="44"/>
      <c r="CL21" s="44"/>
    </row>
    <row r="22" spans="1:90" ht="18" customHeight="1" x14ac:dyDescent="0.2">
      <c r="A22" s="247"/>
      <c r="B22" s="55">
        <f t="shared" si="0"/>
        <v>18</v>
      </c>
      <c r="C22" s="56" t="str">
        <f t="shared" si="1"/>
        <v>sø</v>
      </c>
      <c r="D22" s="57" t="s">
        <v>77</v>
      </c>
      <c r="E22" s="58" t="str">
        <f t="shared" si="2"/>
        <v/>
      </c>
      <c r="F22" s="238"/>
      <c r="G22" s="239"/>
      <c r="H22" s="240"/>
      <c r="I22" s="55">
        <f t="shared" si="3"/>
        <v>18</v>
      </c>
      <c r="J22" s="56" t="str">
        <f t="shared" si="4"/>
        <v>on</v>
      </c>
      <c r="K22" s="57" t="s">
        <v>128</v>
      </c>
      <c r="L22" s="58" t="str">
        <f t="shared" si="5"/>
        <v/>
      </c>
      <c r="M22" s="238"/>
      <c r="N22" s="239"/>
      <c r="O22" s="240"/>
      <c r="P22" s="55">
        <f t="shared" si="6"/>
        <v>18</v>
      </c>
      <c r="Q22" s="56" t="str">
        <f t="shared" si="7"/>
        <v>fr</v>
      </c>
      <c r="R22" s="57" t="s">
        <v>132</v>
      </c>
      <c r="S22" s="58" t="str">
        <f t="shared" si="8"/>
        <v/>
      </c>
      <c r="T22" s="241" t="s">
        <v>85</v>
      </c>
      <c r="U22" s="242"/>
      <c r="V22" s="243"/>
      <c r="W22" s="55">
        <f t="shared" si="9"/>
        <v>18</v>
      </c>
      <c r="X22" s="56" t="str">
        <f t="shared" si="10"/>
        <v>ma</v>
      </c>
      <c r="Y22" s="57" t="s">
        <v>128</v>
      </c>
      <c r="Z22" s="58">
        <f t="shared" si="11"/>
        <v>47</v>
      </c>
      <c r="AA22" s="238"/>
      <c r="AB22" s="239"/>
      <c r="AC22" s="240"/>
      <c r="AD22" s="55">
        <f t="shared" si="12"/>
        <v>18</v>
      </c>
      <c r="AE22" s="56" t="str">
        <f t="shared" si="13"/>
        <v>on</v>
      </c>
      <c r="AF22" s="57" t="s">
        <v>128</v>
      </c>
      <c r="AG22" s="58" t="str">
        <f t="shared" si="14"/>
        <v/>
      </c>
      <c r="AH22" s="238"/>
      <c r="AI22" s="239"/>
      <c r="AJ22" s="240"/>
      <c r="AK22" s="55">
        <f t="shared" si="15"/>
        <v>18</v>
      </c>
      <c r="AL22" s="56" t="str">
        <f t="shared" si="16"/>
        <v>lø</v>
      </c>
      <c r="AM22" s="57" t="s">
        <v>75</v>
      </c>
      <c r="AN22" s="58" t="str">
        <f t="shared" si="17"/>
        <v/>
      </c>
      <c r="AO22" s="241"/>
      <c r="AP22" s="242"/>
      <c r="AQ22" s="243"/>
      <c r="AR22" s="55">
        <f t="shared" si="18"/>
        <v>18</v>
      </c>
      <c r="AS22" s="56" t="str">
        <f t="shared" si="19"/>
        <v>ti</v>
      </c>
      <c r="AT22" s="57" t="s">
        <v>128</v>
      </c>
      <c r="AU22" s="58" t="str">
        <f t="shared" si="20"/>
        <v/>
      </c>
      <c r="AV22" s="238"/>
      <c r="AW22" s="239"/>
      <c r="AX22" s="240"/>
      <c r="AY22" s="55">
        <f t="shared" si="21"/>
        <v>18</v>
      </c>
      <c r="AZ22" s="56" t="str">
        <f t="shared" si="22"/>
        <v>ti</v>
      </c>
      <c r="BA22" s="57" t="s">
        <v>128</v>
      </c>
      <c r="BB22" s="58" t="str">
        <f t="shared" si="23"/>
        <v/>
      </c>
      <c r="BC22" s="238"/>
      <c r="BD22" s="239"/>
      <c r="BE22" s="240"/>
      <c r="BF22" s="55">
        <f t="shared" si="24"/>
        <v>18</v>
      </c>
      <c r="BG22" s="56" t="str">
        <f t="shared" si="25"/>
        <v>fr</v>
      </c>
      <c r="BH22" s="57" t="s">
        <v>76</v>
      </c>
      <c r="BI22" s="58" t="str">
        <f t="shared" si="26"/>
        <v/>
      </c>
      <c r="BJ22" s="238" t="s">
        <v>101</v>
      </c>
      <c r="BK22" s="239"/>
      <c r="BL22" s="240"/>
      <c r="BM22" s="55">
        <f t="shared" si="27"/>
        <v>18</v>
      </c>
      <c r="BN22" s="56" t="str">
        <f t="shared" si="28"/>
        <v>sø</v>
      </c>
      <c r="BO22" s="57" t="s">
        <v>77</v>
      </c>
      <c r="BP22" s="58" t="str">
        <f t="shared" si="29"/>
        <v/>
      </c>
      <c r="BQ22" s="238"/>
      <c r="BR22" s="239"/>
      <c r="BS22" s="240"/>
      <c r="BT22" s="55">
        <f t="shared" si="30"/>
        <v>18</v>
      </c>
      <c r="BU22" s="56" t="str">
        <f t="shared" si="31"/>
        <v>on</v>
      </c>
      <c r="BV22" s="57" t="s">
        <v>128</v>
      </c>
      <c r="BW22" s="58" t="str">
        <f t="shared" si="32"/>
        <v/>
      </c>
      <c r="BX22" s="238"/>
      <c r="BY22" s="239"/>
      <c r="BZ22" s="240"/>
      <c r="CA22" s="55">
        <f t="shared" si="33"/>
        <v>18</v>
      </c>
      <c r="CB22" s="56" t="str">
        <f t="shared" si="34"/>
        <v>fr</v>
      </c>
      <c r="CC22" s="57" t="s">
        <v>132</v>
      </c>
      <c r="CD22" s="58" t="str">
        <f t="shared" si="35"/>
        <v/>
      </c>
      <c r="CE22" s="263" t="s">
        <v>69</v>
      </c>
      <c r="CF22" s="264"/>
      <c r="CG22" s="265"/>
      <c r="CH22" s="75"/>
      <c r="CI22" s="44"/>
      <c r="CJ22" s="44"/>
      <c r="CK22" s="44"/>
      <c r="CL22" s="44"/>
    </row>
    <row r="23" spans="1:90" ht="18" customHeight="1" thickBot="1" x14ac:dyDescent="0.25">
      <c r="A23" s="247"/>
      <c r="B23" s="55">
        <f t="shared" si="0"/>
        <v>19</v>
      </c>
      <c r="C23" s="56" t="str">
        <f t="shared" si="1"/>
        <v>ma</v>
      </c>
      <c r="D23" s="57" t="s">
        <v>128</v>
      </c>
      <c r="E23" s="58">
        <f t="shared" si="2"/>
        <v>34</v>
      </c>
      <c r="F23" s="238"/>
      <c r="G23" s="239"/>
      <c r="H23" s="240"/>
      <c r="I23" s="55">
        <f t="shared" si="3"/>
        <v>19</v>
      </c>
      <c r="J23" s="56" t="str">
        <f t="shared" si="4"/>
        <v>to</v>
      </c>
      <c r="K23" s="57" t="s">
        <v>128</v>
      </c>
      <c r="L23" s="58" t="str">
        <f t="shared" si="5"/>
        <v/>
      </c>
      <c r="M23" s="238"/>
      <c r="N23" s="239"/>
      <c r="O23" s="240"/>
      <c r="P23" s="55">
        <f t="shared" si="6"/>
        <v>19</v>
      </c>
      <c r="Q23" s="56" t="str">
        <f t="shared" si="7"/>
        <v>lø</v>
      </c>
      <c r="R23" s="57" t="s">
        <v>75</v>
      </c>
      <c r="S23" s="58" t="str">
        <f t="shared" si="8"/>
        <v/>
      </c>
      <c r="T23" s="241"/>
      <c r="U23" s="242"/>
      <c r="V23" s="243"/>
      <c r="W23" s="55">
        <f t="shared" si="9"/>
        <v>19</v>
      </c>
      <c r="X23" s="56" t="str">
        <f t="shared" si="10"/>
        <v>ti</v>
      </c>
      <c r="Y23" s="57" t="s">
        <v>128</v>
      </c>
      <c r="Z23" s="58" t="str">
        <f t="shared" si="11"/>
        <v/>
      </c>
      <c r="AA23" s="238"/>
      <c r="AB23" s="239"/>
      <c r="AC23" s="240"/>
      <c r="AD23" s="55">
        <f t="shared" si="12"/>
        <v>19</v>
      </c>
      <c r="AE23" s="56" t="str">
        <f t="shared" si="13"/>
        <v>to</v>
      </c>
      <c r="AF23" s="57" t="s">
        <v>128</v>
      </c>
      <c r="AG23" s="58" t="str">
        <f t="shared" si="14"/>
        <v/>
      </c>
      <c r="AH23" s="238"/>
      <c r="AI23" s="239"/>
      <c r="AJ23" s="240"/>
      <c r="AK23" s="55">
        <f t="shared" si="15"/>
        <v>19</v>
      </c>
      <c r="AL23" s="56" t="str">
        <f t="shared" si="16"/>
        <v>sø</v>
      </c>
      <c r="AM23" s="57" t="s">
        <v>75</v>
      </c>
      <c r="AN23" s="58" t="str">
        <f t="shared" si="17"/>
        <v/>
      </c>
      <c r="AO23" s="241"/>
      <c r="AP23" s="242"/>
      <c r="AQ23" s="243"/>
      <c r="AR23" s="55">
        <f t="shared" si="18"/>
        <v>19</v>
      </c>
      <c r="AS23" s="56" t="str">
        <f t="shared" si="19"/>
        <v>on</v>
      </c>
      <c r="AT23" s="57" t="s">
        <v>128</v>
      </c>
      <c r="AU23" s="58" t="str">
        <f t="shared" si="20"/>
        <v/>
      </c>
      <c r="AV23" s="238"/>
      <c r="AW23" s="239"/>
      <c r="AX23" s="240"/>
      <c r="AY23" s="55">
        <f t="shared" si="21"/>
        <v>19</v>
      </c>
      <c r="AZ23" s="56" t="str">
        <f t="shared" si="22"/>
        <v>on</v>
      </c>
      <c r="BA23" s="57" t="s">
        <v>128</v>
      </c>
      <c r="BB23" s="58" t="str">
        <f t="shared" si="23"/>
        <v/>
      </c>
      <c r="BC23" s="238"/>
      <c r="BD23" s="239"/>
      <c r="BE23" s="240"/>
      <c r="BF23" s="55">
        <f t="shared" si="24"/>
        <v>19</v>
      </c>
      <c r="BG23" s="56" t="str">
        <f t="shared" si="25"/>
        <v>lø</v>
      </c>
      <c r="BH23" s="57" t="s">
        <v>77</v>
      </c>
      <c r="BI23" s="58" t="str">
        <f t="shared" si="26"/>
        <v/>
      </c>
      <c r="BJ23" s="238"/>
      <c r="BK23" s="239"/>
      <c r="BL23" s="240"/>
      <c r="BM23" s="55">
        <f t="shared" si="27"/>
        <v>19</v>
      </c>
      <c r="BN23" s="56" t="str">
        <f t="shared" si="28"/>
        <v>ma</v>
      </c>
      <c r="BO23" s="57" t="s">
        <v>128</v>
      </c>
      <c r="BP23" s="58">
        <f t="shared" si="29"/>
        <v>20.714285714285715</v>
      </c>
      <c r="BQ23" s="238"/>
      <c r="BR23" s="239"/>
      <c r="BS23" s="240"/>
      <c r="BT23" s="55">
        <f t="shared" si="30"/>
        <v>19</v>
      </c>
      <c r="BU23" s="56" t="str">
        <f t="shared" si="31"/>
        <v>to</v>
      </c>
      <c r="BV23" s="57" t="s">
        <v>128</v>
      </c>
      <c r="BW23" s="58" t="str">
        <f t="shared" si="32"/>
        <v/>
      </c>
      <c r="BX23" s="238"/>
      <c r="BY23" s="239"/>
      <c r="BZ23" s="240"/>
      <c r="CA23" s="55">
        <f t="shared" si="33"/>
        <v>19</v>
      </c>
      <c r="CB23" s="56" t="str">
        <f t="shared" si="34"/>
        <v>lø</v>
      </c>
      <c r="CC23" s="57" t="s">
        <v>77</v>
      </c>
      <c r="CD23" s="58" t="str">
        <f t="shared" si="35"/>
        <v/>
      </c>
      <c r="CE23" s="263" t="s">
        <v>69</v>
      </c>
      <c r="CF23" s="264"/>
      <c r="CG23" s="265"/>
      <c r="CH23" s="75"/>
      <c r="CI23" s="44"/>
      <c r="CJ23" s="44"/>
      <c r="CK23" s="44"/>
      <c r="CL23" s="44"/>
    </row>
    <row r="24" spans="1:90" ht="18" customHeight="1" x14ac:dyDescent="0.2">
      <c r="A24" s="247"/>
      <c r="B24" s="55">
        <f t="shared" si="0"/>
        <v>20</v>
      </c>
      <c r="C24" s="56" t="str">
        <f t="shared" si="1"/>
        <v>ti</v>
      </c>
      <c r="D24" s="57" t="s">
        <v>128</v>
      </c>
      <c r="E24" s="58" t="str">
        <f t="shared" si="2"/>
        <v/>
      </c>
      <c r="F24" s="238"/>
      <c r="G24" s="239"/>
      <c r="H24" s="240"/>
      <c r="I24" s="55">
        <f t="shared" si="3"/>
        <v>20</v>
      </c>
      <c r="J24" s="56" t="str">
        <f t="shared" si="4"/>
        <v>fr</v>
      </c>
      <c r="K24" s="57" t="s">
        <v>128</v>
      </c>
      <c r="L24" s="58" t="str">
        <f t="shared" si="5"/>
        <v/>
      </c>
      <c r="M24" s="238"/>
      <c r="N24" s="239"/>
      <c r="O24" s="240"/>
      <c r="P24" s="55">
        <f t="shared" si="6"/>
        <v>20</v>
      </c>
      <c r="Q24" s="56" t="str">
        <f t="shared" si="7"/>
        <v>sø</v>
      </c>
      <c r="R24" s="57" t="s">
        <v>75</v>
      </c>
      <c r="S24" s="58" t="str">
        <f t="shared" si="8"/>
        <v/>
      </c>
      <c r="T24" s="241"/>
      <c r="U24" s="242"/>
      <c r="V24" s="243"/>
      <c r="W24" s="55">
        <f t="shared" si="9"/>
        <v>20</v>
      </c>
      <c r="X24" s="56" t="str">
        <f t="shared" si="10"/>
        <v>on</v>
      </c>
      <c r="Y24" s="57" t="s">
        <v>128</v>
      </c>
      <c r="Z24" s="58" t="str">
        <f t="shared" si="11"/>
        <v/>
      </c>
      <c r="AA24" s="238"/>
      <c r="AB24" s="239"/>
      <c r="AC24" s="240"/>
      <c r="AD24" s="55">
        <f t="shared" si="12"/>
        <v>20</v>
      </c>
      <c r="AE24" s="56" t="str">
        <f t="shared" si="13"/>
        <v>fr</v>
      </c>
      <c r="AF24" s="57" t="s">
        <v>128</v>
      </c>
      <c r="AG24" s="58" t="str">
        <f t="shared" si="14"/>
        <v/>
      </c>
      <c r="AH24" s="238"/>
      <c r="AI24" s="239"/>
      <c r="AJ24" s="240"/>
      <c r="AK24" s="55">
        <f t="shared" si="15"/>
        <v>20</v>
      </c>
      <c r="AL24" s="56" t="str">
        <f t="shared" si="16"/>
        <v>ma</v>
      </c>
      <c r="AM24" s="57" t="s">
        <v>128</v>
      </c>
      <c r="AN24" s="58">
        <f t="shared" si="17"/>
        <v>3.7142857142857144</v>
      </c>
      <c r="AO24" s="241"/>
      <c r="AP24" s="242"/>
      <c r="AQ24" s="243"/>
      <c r="AR24" s="55">
        <f t="shared" si="18"/>
        <v>20</v>
      </c>
      <c r="AS24" s="56" t="str">
        <f t="shared" si="19"/>
        <v>to</v>
      </c>
      <c r="AT24" s="57" t="s">
        <v>128</v>
      </c>
      <c r="AU24" s="58" t="str">
        <f t="shared" si="20"/>
        <v/>
      </c>
      <c r="AV24" s="238"/>
      <c r="AW24" s="239"/>
      <c r="AX24" s="240"/>
      <c r="AY24" s="55">
        <f t="shared" si="21"/>
        <v>20</v>
      </c>
      <c r="AZ24" s="56" t="str">
        <f t="shared" si="22"/>
        <v>to</v>
      </c>
      <c r="BA24" s="57" t="s">
        <v>128</v>
      </c>
      <c r="BB24" s="58" t="str">
        <f t="shared" si="23"/>
        <v/>
      </c>
      <c r="BC24" s="238"/>
      <c r="BD24" s="239"/>
      <c r="BE24" s="240"/>
      <c r="BF24" s="55">
        <f t="shared" si="24"/>
        <v>20</v>
      </c>
      <c r="BG24" s="56" t="str">
        <f t="shared" si="25"/>
        <v>sø</v>
      </c>
      <c r="BH24" s="57" t="s">
        <v>77</v>
      </c>
      <c r="BI24" s="58" t="str">
        <f t="shared" si="26"/>
        <v/>
      </c>
      <c r="BJ24" s="238" t="s">
        <v>73</v>
      </c>
      <c r="BK24" s="239"/>
      <c r="BL24" s="240"/>
      <c r="BM24" s="55">
        <f t="shared" si="27"/>
        <v>20</v>
      </c>
      <c r="BN24" s="56" t="str">
        <f t="shared" si="28"/>
        <v>ti</v>
      </c>
      <c r="BO24" s="57" t="s">
        <v>128</v>
      </c>
      <c r="BP24" s="58" t="str">
        <f t="shared" si="29"/>
        <v/>
      </c>
      <c r="BQ24" s="238"/>
      <c r="BR24" s="239"/>
      <c r="BS24" s="240"/>
      <c r="BT24" s="55">
        <f t="shared" si="30"/>
        <v>20</v>
      </c>
      <c r="BU24" s="56" t="str">
        <f t="shared" si="31"/>
        <v>fr</v>
      </c>
      <c r="BV24" s="57" t="s">
        <v>128</v>
      </c>
      <c r="BW24" s="58" t="str">
        <f t="shared" si="32"/>
        <v/>
      </c>
      <c r="BX24" s="238"/>
      <c r="BY24" s="239"/>
      <c r="BZ24" s="240"/>
      <c r="CA24" s="55">
        <f t="shared" si="33"/>
        <v>20</v>
      </c>
      <c r="CB24" s="56" t="str">
        <f t="shared" si="34"/>
        <v>sø</v>
      </c>
      <c r="CC24" s="57" t="s">
        <v>77</v>
      </c>
      <c r="CD24" s="58" t="str">
        <f t="shared" si="35"/>
        <v/>
      </c>
      <c r="CE24" s="263" t="s">
        <v>69</v>
      </c>
      <c r="CF24" s="264"/>
      <c r="CG24" s="265"/>
      <c r="CH24" s="75"/>
      <c r="CI24" s="60" t="s">
        <v>53</v>
      </c>
      <c r="CJ24" s="61"/>
      <c r="CK24" s="44"/>
      <c r="CL24" s="44"/>
    </row>
    <row r="25" spans="1:90" ht="18" customHeight="1" x14ac:dyDescent="0.2">
      <c r="A25" s="247"/>
      <c r="B25" s="55">
        <f t="shared" si="0"/>
        <v>21</v>
      </c>
      <c r="C25" s="56" t="str">
        <f t="shared" si="1"/>
        <v>on</v>
      </c>
      <c r="D25" s="57" t="s">
        <v>128</v>
      </c>
      <c r="E25" s="58" t="str">
        <f t="shared" si="2"/>
        <v/>
      </c>
      <c r="F25" s="238"/>
      <c r="G25" s="239"/>
      <c r="H25" s="240"/>
      <c r="I25" s="55">
        <f t="shared" si="3"/>
        <v>21</v>
      </c>
      <c r="J25" s="56" t="str">
        <f t="shared" si="4"/>
        <v>lø</v>
      </c>
      <c r="K25" s="57" t="s">
        <v>77</v>
      </c>
      <c r="L25" s="58" t="str">
        <f t="shared" si="5"/>
        <v/>
      </c>
      <c r="M25" s="238"/>
      <c r="N25" s="239"/>
      <c r="O25" s="240"/>
      <c r="P25" s="55">
        <f t="shared" si="6"/>
        <v>21</v>
      </c>
      <c r="Q25" s="56" t="str">
        <f t="shared" si="7"/>
        <v>ma</v>
      </c>
      <c r="R25" s="57" t="s">
        <v>128</v>
      </c>
      <c r="S25" s="58">
        <f t="shared" si="8"/>
        <v>43</v>
      </c>
      <c r="T25" s="241"/>
      <c r="U25" s="242"/>
      <c r="V25" s="243"/>
      <c r="W25" s="55">
        <f t="shared" si="9"/>
        <v>21</v>
      </c>
      <c r="X25" s="56" t="str">
        <f t="shared" si="10"/>
        <v>to</v>
      </c>
      <c r="Y25" s="57" t="s">
        <v>128</v>
      </c>
      <c r="Z25" s="58" t="str">
        <f t="shared" si="11"/>
        <v/>
      </c>
      <c r="AA25" s="238"/>
      <c r="AB25" s="239"/>
      <c r="AC25" s="240"/>
      <c r="AD25" s="55">
        <f t="shared" si="12"/>
        <v>21</v>
      </c>
      <c r="AE25" s="56" t="str">
        <f t="shared" si="13"/>
        <v>lø</v>
      </c>
      <c r="AF25" s="57" t="s">
        <v>77</v>
      </c>
      <c r="AG25" s="58" t="str">
        <f t="shared" si="14"/>
        <v/>
      </c>
      <c r="AH25" s="238"/>
      <c r="AI25" s="239"/>
      <c r="AJ25" s="240"/>
      <c r="AK25" s="55">
        <f t="shared" si="15"/>
        <v>21</v>
      </c>
      <c r="AL25" s="56" t="str">
        <f t="shared" si="16"/>
        <v>ti</v>
      </c>
      <c r="AM25" s="57" t="s">
        <v>128</v>
      </c>
      <c r="AN25" s="58" t="str">
        <f t="shared" si="17"/>
        <v/>
      </c>
      <c r="AO25" s="241"/>
      <c r="AP25" s="242"/>
      <c r="AQ25" s="243"/>
      <c r="AR25" s="55">
        <f t="shared" si="18"/>
        <v>21</v>
      </c>
      <c r="AS25" s="56" t="str">
        <f t="shared" si="19"/>
        <v>fr</v>
      </c>
      <c r="AT25" s="57" t="s">
        <v>128</v>
      </c>
      <c r="AU25" s="58" t="str">
        <f t="shared" si="20"/>
        <v/>
      </c>
      <c r="AV25" s="238"/>
      <c r="AW25" s="239"/>
      <c r="AX25" s="240"/>
      <c r="AY25" s="55">
        <f t="shared" si="21"/>
        <v>21</v>
      </c>
      <c r="AZ25" s="56" t="str">
        <f t="shared" si="22"/>
        <v>fr</v>
      </c>
      <c r="BA25" s="57" t="s">
        <v>128</v>
      </c>
      <c r="BB25" s="58" t="str">
        <f t="shared" si="23"/>
        <v/>
      </c>
      <c r="BC25" s="238"/>
      <c r="BD25" s="239"/>
      <c r="BE25" s="240"/>
      <c r="BF25" s="55">
        <f t="shared" si="24"/>
        <v>21</v>
      </c>
      <c r="BG25" s="56" t="str">
        <f t="shared" si="25"/>
        <v>ma</v>
      </c>
      <c r="BH25" s="57" t="s">
        <v>76</v>
      </c>
      <c r="BI25" s="58">
        <f t="shared" si="26"/>
        <v>16.714285714285715</v>
      </c>
      <c r="BJ25" s="238" t="s">
        <v>72</v>
      </c>
      <c r="BK25" s="239"/>
      <c r="BL25" s="240"/>
      <c r="BM25" s="55">
        <f t="shared" si="27"/>
        <v>21</v>
      </c>
      <c r="BN25" s="56" t="str">
        <f t="shared" si="28"/>
        <v>on</v>
      </c>
      <c r="BO25" s="57" t="s">
        <v>128</v>
      </c>
      <c r="BP25" s="58" t="str">
        <f t="shared" si="29"/>
        <v/>
      </c>
      <c r="BQ25" s="238"/>
      <c r="BR25" s="239"/>
      <c r="BS25" s="240"/>
      <c r="BT25" s="55">
        <f t="shared" si="30"/>
        <v>21</v>
      </c>
      <c r="BU25" s="56" t="str">
        <f t="shared" si="31"/>
        <v>lø</v>
      </c>
      <c r="BV25" s="57" t="s">
        <v>77</v>
      </c>
      <c r="BW25" s="58" t="str">
        <f t="shared" si="32"/>
        <v/>
      </c>
      <c r="BX25" s="238"/>
      <c r="BY25" s="239"/>
      <c r="BZ25" s="240"/>
      <c r="CA25" s="55">
        <f t="shared" si="33"/>
        <v>21</v>
      </c>
      <c r="CB25" s="56" t="str">
        <f t="shared" si="34"/>
        <v>ma</v>
      </c>
      <c r="CC25" s="57" t="s">
        <v>132</v>
      </c>
      <c r="CD25" s="58">
        <f t="shared" si="35"/>
        <v>29.714285714285715</v>
      </c>
      <c r="CE25" s="263" t="s">
        <v>69</v>
      </c>
      <c r="CF25" s="264"/>
      <c r="CG25" s="265"/>
      <c r="CH25" s="75"/>
      <c r="CI25" s="62" t="s">
        <v>67</v>
      </c>
      <c r="CJ25" s="63">
        <f>CK60</f>
        <v>191</v>
      </c>
      <c r="CK25" s="44"/>
      <c r="CL25" s="44"/>
    </row>
    <row r="26" spans="1:90" ht="18" customHeight="1" x14ac:dyDescent="0.2">
      <c r="A26" s="245"/>
      <c r="B26" s="55">
        <f t="shared" si="0"/>
        <v>22</v>
      </c>
      <c r="C26" s="56" t="str">
        <f t="shared" si="1"/>
        <v>to</v>
      </c>
      <c r="D26" s="57" t="s">
        <v>128</v>
      </c>
      <c r="E26" s="58" t="str">
        <f t="shared" si="2"/>
        <v/>
      </c>
      <c r="F26" s="238"/>
      <c r="G26" s="239"/>
      <c r="H26" s="240"/>
      <c r="I26" s="55">
        <f t="shared" si="3"/>
        <v>22</v>
      </c>
      <c r="J26" s="56" t="str">
        <f t="shared" si="4"/>
        <v>sø</v>
      </c>
      <c r="K26" s="57" t="s">
        <v>77</v>
      </c>
      <c r="L26" s="58" t="str">
        <f t="shared" si="5"/>
        <v/>
      </c>
      <c r="M26" s="238"/>
      <c r="N26" s="239"/>
      <c r="O26" s="240"/>
      <c r="P26" s="55">
        <f t="shared" si="6"/>
        <v>22</v>
      </c>
      <c r="Q26" s="56" t="str">
        <f t="shared" si="7"/>
        <v>ti</v>
      </c>
      <c r="R26" s="57" t="s">
        <v>128</v>
      </c>
      <c r="S26" s="58" t="str">
        <f t="shared" si="8"/>
        <v/>
      </c>
      <c r="T26" s="238"/>
      <c r="U26" s="239"/>
      <c r="V26" s="240"/>
      <c r="W26" s="55">
        <f t="shared" si="9"/>
        <v>22</v>
      </c>
      <c r="X26" s="56" t="str">
        <f t="shared" si="10"/>
        <v>fr</v>
      </c>
      <c r="Y26" s="57" t="s">
        <v>128</v>
      </c>
      <c r="Z26" s="58" t="str">
        <f t="shared" si="11"/>
        <v/>
      </c>
      <c r="AA26" s="238"/>
      <c r="AB26" s="239"/>
      <c r="AC26" s="240"/>
      <c r="AD26" s="55">
        <f t="shared" si="12"/>
        <v>22</v>
      </c>
      <c r="AE26" s="56" t="str">
        <f t="shared" si="13"/>
        <v>sø</v>
      </c>
      <c r="AF26" s="57" t="s">
        <v>77</v>
      </c>
      <c r="AG26" s="58" t="str">
        <f t="shared" si="14"/>
        <v/>
      </c>
      <c r="AH26" s="238"/>
      <c r="AI26" s="239"/>
      <c r="AJ26" s="240"/>
      <c r="AK26" s="55">
        <f t="shared" si="15"/>
        <v>22</v>
      </c>
      <c r="AL26" s="56" t="str">
        <f t="shared" si="16"/>
        <v>on</v>
      </c>
      <c r="AM26" s="57" t="s">
        <v>128</v>
      </c>
      <c r="AN26" s="58" t="str">
        <f t="shared" si="17"/>
        <v/>
      </c>
      <c r="AO26" s="241"/>
      <c r="AP26" s="242"/>
      <c r="AQ26" s="243"/>
      <c r="AR26" s="55">
        <f t="shared" si="18"/>
        <v>22</v>
      </c>
      <c r="AS26" s="56" t="str">
        <f t="shared" si="19"/>
        <v>lø</v>
      </c>
      <c r="AT26" s="57" t="s">
        <v>77</v>
      </c>
      <c r="AU26" s="58" t="str">
        <f t="shared" si="20"/>
        <v/>
      </c>
      <c r="AV26" s="238"/>
      <c r="AW26" s="239"/>
      <c r="AX26" s="240"/>
      <c r="AY26" s="55">
        <f t="shared" si="21"/>
        <v>22</v>
      </c>
      <c r="AZ26" s="56" t="str">
        <f t="shared" si="22"/>
        <v>lø</v>
      </c>
      <c r="BA26" s="57" t="s">
        <v>77</v>
      </c>
      <c r="BB26" s="58" t="str">
        <f t="shared" si="23"/>
        <v/>
      </c>
      <c r="BC26" s="238"/>
      <c r="BD26" s="239"/>
      <c r="BE26" s="240"/>
      <c r="BF26" s="55">
        <f t="shared" si="24"/>
        <v>22</v>
      </c>
      <c r="BG26" s="56" t="str">
        <f t="shared" si="25"/>
        <v>ti</v>
      </c>
      <c r="BH26" s="57" t="s">
        <v>128</v>
      </c>
      <c r="BI26" s="58" t="str">
        <f t="shared" si="26"/>
        <v/>
      </c>
      <c r="BJ26" s="238"/>
      <c r="BK26" s="239"/>
      <c r="BL26" s="240"/>
      <c r="BM26" s="55">
        <f t="shared" si="27"/>
        <v>22</v>
      </c>
      <c r="BN26" s="56" t="str">
        <f t="shared" si="28"/>
        <v>to</v>
      </c>
      <c r="BO26" s="57" t="s">
        <v>128</v>
      </c>
      <c r="BP26" s="58" t="str">
        <f t="shared" si="29"/>
        <v/>
      </c>
      <c r="BQ26" s="238"/>
      <c r="BR26" s="239"/>
      <c r="BS26" s="240"/>
      <c r="BT26" s="55">
        <f t="shared" si="30"/>
        <v>22</v>
      </c>
      <c r="BU26" s="56" t="str">
        <f t="shared" si="31"/>
        <v>sø</v>
      </c>
      <c r="BV26" s="57" t="s">
        <v>77</v>
      </c>
      <c r="BW26" s="58" t="str">
        <f t="shared" si="32"/>
        <v/>
      </c>
      <c r="BX26" s="238"/>
      <c r="BY26" s="239"/>
      <c r="BZ26" s="240"/>
      <c r="CA26" s="55">
        <f t="shared" si="33"/>
        <v>22</v>
      </c>
      <c r="CB26" s="56" t="str">
        <f t="shared" si="34"/>
        <v>ti</v>
      </c>
      <c r="CC26" s="57" t="s">
        <v>132</v>
      </c>
      <c r="CD26" s="58" t="str">
        <f t="shared" si="35"/>
        <v/>
      </c>
      <c r="CE26" s="263" t="s">
        <v>69</v>
      </c>
      <c r="CF26" s="264"/>
      <c r="CG26" s="265"/>
      <c r="CH26" s="75"/>
      <c r="CI26" s="64" t="s">
        <v>137</v>
      </c>
      <c r="CJ26" s="65">
        <f>CD41+BW41+BP41+BI41+BB41+AU41+AN41+AG41+Z41+S41+L41+E41</f>
        <v>8</v>
      </c>
      <c r="CK26" s="44"/>
      <c r="CL26" s="44"/>
    </row>
    <row r="27" spans="1:90" ht="18" customHeight="1" x14ac:dyDescent="0.2">
      <c r="A27" s="245"/>
      <c r="B27" s="55">
        <f t="shared" si="0"/>
        <v>23</v>
      </c>
      <c r="C27" s="56" t="str">
        <f t="shared" si="1"/>
        <v>fr</v>
      </c>
      <c r="D27" s="57" t="s">
        <v>128</v>
      </c>
      <c r="E27" s="58" t="str">
        <f t="shared" si="2"/>
        <v/>
      </c>
      <c r="F27" s="238"/>
      <c r="G27" s="239"/>
      <c r="H27" s="240"/>
      <c r="I27" s="55">
        <f t="shared" si="3"/>
        <v>23</v>
      </c>
      <c r="J27" s="56" t="str">
        <f t="shared" si="4"/>
        <v>ma</v>
      </c>
      <c r="K27" s="57" t="s">
        <v>128</v>
      </c>
      <c r="L27" s="58">
        <f t="shared" si="5"/>
        <v>39</v>
      </c>
      <c r="M27" s="238"/>
      <c r="N27" s="239"/>
      <c r="O27" s="240"/>
      <c r="P27" s="55">
        <f t="shared" si="6"/>
        <v>23</v>
      </c>
      <c r="Q27" s="56" t="str">
        <f t="shared" si="7"/>
        <v>on</v>
      </c>
      <c r="R27" s="57" t="s">
        <v>128</v>
      </c>
      <c r="S27" s="58" t="str">
        <f t="shared" si="8"/>
        <v/>
      </c>
      <c r="T27" s="238"/>
      <c r="U27" s="239"/>
      <c r="V27" s="240"/>
      <c r="W27" s="55">
        <f t="shared" si="9"/>
        <v>23</v>
      </c>
      <c r="X27" s="56" t="str">
        <f t="shared" si="10"/>
        <v>lø</v>
      </c>
      <c r="Y27" s="57" t="s">
        <v>77</v>
      </c>
      <c r="Z27" s="58" t="str">
        <f t="shared" si="11"/>
        <v/>
      </c>
      <c r="AA27" s="238"/>
      <c r="AB27" s="239"/>
      <c r="AC27" s="240"/>
      <c r="AD27" s="55">
        <f t="shared" si="12"/>
        <v>23</v>
      </c>
      <c r="AE27" s="56" t="str">
        <f t="shared" si="13"/>
        <v>ma</v>
      </c>
      <c r="AF27" s="57" t="s">
        <v>80</v>
      </c>
      <c r="AG27" s="58">
        <f t="shared" si="14"/>
        <v>52</v>
      </c>
      <c r="AH27" s="238" t="s">
        <v>81</v>
      </c>
      <c r="AI27" s="239"/>
      <c r="AJ27" s="240"/>
      <c r="AK27" s="55">
        <f t="shared" si="15"/>
        <v>23</v>
      </c>
      <c r="AL27" s="56" t="str">
        <f t="shared" si="16"/>
        <v>to</v>
      </c>
      <c r="AM27" s="57" t="s">
        <v>128</v>
      </c>
      <c r="AN27" s="58" t="str">
        <f t="shared" si="17"/>
        <v/>
      </c>
      <c r="AO27" s="241"/>
      <c r="AP27" s="242"/>
      <c r="AQ27" s="243"/>
      <c r="AR27" s="55">
        <f t="shared" si="18"/>
        <v>23</v>
      </c>
      <c r="AS27" s="56" t="str">
        <f t="shared" si="19"/>
        <v>sø</v>
      </c>
      <c r="AT27" s="57" t="s">
        <v>77</v>
      </c>
      <c r="AU27" s="58" t="str">
        <f t="shared" si="20"/>
        <v/>
      </c>
      <c r="AV27" s="238"/>
      <c r="AW27" s="239"/>
      <c r="AX27" s="240"/>
      <c r="AY27" s="55">
        <f t="shared" si="21"/>
        <v>23</v>
      </c>
      <c r="AZ27" s="56" t="str">
        <f t="shared" si="22"/>
        <v>sø</v>
      </c>
      <c r="BA27" s="57" t="s">
        <v>77</v>
      </c>
      <c r="BB27" s="58" t="str">
        <f t="shared" si="23"/>
        <v/>
      </c>
      <c r="BC27" s="238"/>
      <c r="BD27" s="239"/>
      <c r="BE27" s="240"/>
      <c r="BF27" s="55">
        <f t="shared" si="24"/>
        <v>23</v>
      </c>
      <c r="BG27" s="56" t="str">
        <f t="shared" si="25"/>
        <v>on</v>
      </c>
      <c r="BH27" s="57" t="s">
        <v>128</v>
      </c>
      <c r="BI27" s="58" t="str">
        <f t="shared" si="26"/>
        <v/>
      </c>
      <c r="BJ27" s="238"/>
      <c r="BK27" s="239"/>
      <c r="BL27" s="240"/>
      <c r="BM27" s="55">
        <f t="shared" si="27"/>
        <v>23</v>
      </c>
      <c r="BN27" s="56" t="str">
        <f t="shared" si="28"/>
        <v>fr</v>
      </c>
      <c r="BO27" s="57" t="s">
        <v>128</v>
      </c>
      <c r="BP27" s="58" t="str">
        <f t="shared" si="29"/>
        <v/>
      </c>
      <c r="BQ27" s="238"/>
      <c r="BR27" s="239"/>
      <c r="BS27" s="240"/>
      <c r="BT27" s="55">
        <f t="shared" si="30"/>
        <v>23</v>
      </c>
      <c r="BU27" s="56" t="str">
        <f t="shared" si="31"/>
        <v>ma</v>
      </c>
      <c r="BV27" s="57" t="s">
        <v>128</v>
      </c>
      <c r="BW27" s="58">
        <f t="shared" si="32"/>
        <v>25.714285714285715</v>
      </c>
      <c r="BX27" s="238"/>
      <c r="BY27" s="239"/>
      <c r="BZ27" s="240"/>
      <c r="CA27" s="55">
        <f t="shared" si="33"/>
        <v>23</v>
      </c>
      <c r="CB27" s="56" t="str">
        <f t="shared" si="34"/>
        <v>on</v>
      </c>
      <c r="CC27" s="57" t="s">
        <v>132</v>
      </c>
      <c r="CD27" s="58" t="str">
        <f t="shared" si="35"/>
        <v/>
      </c>
      <c r="CE27" s="263" t="s">
        <v>69</v>
      </c>
      <c r="CF27" s="264"/>
      <c r="CG27" s="265"/>
      <c r="CH27" s="75"/>
      <c r="CI27" s="66" t="s">
        <v>64</v>
      </c>
      <c r="CJ27" s="67">
        <f>CD42+BW42+BP42+BI42+BB42+AU42+AN42+AG42+Z42+S42+L42+E42</f>
        <v>1</v>
      </c>
      <c r="CK27" s="44"/>
      <c r="CL27" s="44"/>
    </row>
    <row r="28" spans="1:90" ht="18" customHeight="1" x14ac:dyDescent="0.2">
      <c r="A28" s="246"/>
      <c r="B28" s="55">
        <f t="shared" si="0"/>
        <v>24</v>
      </c>
      <c r="C28" s="56" t="str">
        <f t="shared" si="1"/>
        <v>lø</v>
      </c>
      <c r="D28" s="57" t="s">
        <v>77</v>
      </c>
      <c r="E28" s="58" t="str">
        <f t="shared" si="2"/>
        <v/>
      </c>
      <c r="F28" s="238"/>
      <c r="G28" s="239"/>
      <c r="H28" s="240"/>
      <c r="I28" s="55">
        <f t="shared" si="3"/>
        <v>24</v>
      </c>
      <c r="J28" s="56" t="str">
        <f t="shared" si="4"/>
        <v>ti</v>
      </c>
      <c r="K28" s="57" t="s">
        <v>128</v>
      </c>
      <c r="L28" s="58" t="str">
        <f t="shared" si="5"/>
        <v/>
      </c>
      <c r="M28" s="238"/>
      <c r="N28" s="239"/>
      <c r="O28" s="240"/>
      <c r="P28" s="55">
        <f t="shared" si="6"/>
        <v>24</v>
      </c>
      <c r="Q28" s="56" t="str">
        <f t="shared" si="7"/>
        <v>to</v>
      </c>
      <c r="R28" s="57" t="s">
        <v>128</v>
      </c>
      <c r="S28" s="58" t="str">
        <f t="shared" si="8"/>
        <v/>
      </c>
      <c r="T28" s="238"/>
      <c r="U28" s="239"/>
      <c r="V28" s="240"/>
      <c r="W28" s="55">
        <f t="shared" si="9"/>
        <v>24</v>
      </c>
      <c r="X28" s="56" t="str">
        <f t="shared" si="10"/>
        <v>sø</v>
      </c>
      <c r="Y28" s="57" t="s">
        <v>77</v>
      </c>
      <c r="Z28" s="58" t="str">
        <f t="shared" si="11"/>
        <v/>
      </c>
      <c r="AA28" s="238"/>
      <c r="AB28" s="239"/>
      <c r="AC28" s="240"/>
      <c r="AD28" s="55">
        <f t="shared" si="12"/>
        <v>24</v>
      </c>
      <c r="AE28" s="56" t="str">
        <f t="shared" si="13"/>
        <v>ti</v>
      </c>
      <c r="AF28" s="57" t="s">
        <v>80</v>
      </c>
      <c r="AG28" s="58" t="str">
        <f t="shared" si="14"/>
        <v/>
      </c>
      <c r="AH28" s="238" t="s">
        <v>81</v>
      </c>
      <c r="AI28" s="239"/>
      <c r="AJ28" s="240"/>
      <c r="AK28" s="55">
        <f t="shared" si="15"/>
        <v>24</v>
      </c>
      <c r="AL28" s="56" t="str">
        <f t="shared" si="16"/>
        <v>fr</v>
      </c>
      <c r="AM28" s="57" t="s">
        <v>128</v>
      </c>
      <c r="AN28" s="58" t="str">
        <f t="shared" si="17"/>
        <v/>
      </c>
      <c r="AO28" s="241"/>
      <c r="AP28" s="242"/>
      <c r="AQ28" s="243"/>
      <c r="AR28" s="55">
        <f t="shared" si="18"/>
        <v>24</v>
      </c>
      <c r="AS28" s="56" t="str">
        <f t="shared" si="19"/>
        <v>ma</v>
      </c>
      <c r="AT28" s="57" t="s">
        <v>133</v>
      </c>
      <c r="AU28" s="58">
        <f t="shared" si="20"/>
        <v>8.7142857142857135</v>
      </c>
      <c r="AV28" s="238" t="s">
        <v>164</v>
      </c>
      <c r="AW28" s="239"/>
      <c r="AX28" s="240"/>
      <c r="AY28" s="55">
        <f t="shared" si="21"/>
        <v>24</v>
      </c>
      <c r="AZ28" s="56" t="str">
        <f t="shared" si="22"/>
        <v>ma</v>
      </c>
      <c r="BA28" s="57" t="s">
        <v>128</v>
      </c>
      <c r="BB28" s="58">
        <f t="shared" si="23"/>
        <v>12.714285714285714</v>
      </c>
      <c r="BC28" s="238"/>
      <c r="BD28" s="239"/>
      <c r="BE28" s="240"/>
      <c r="BF28" s="55">
        <f t="shared" si="24"/>
        <v>24</v>
      </c>
      <c r="BG28" s="56" t="str">
        <f t="shared" si="25"/>
        <v>to</v>
      </c>
      <c r="BH28" s="57" t="s">
        <v>128</v>
      </c>
      <c r="BI28" s="58" t="str">
        <f t="shared" si="26"/>
        <v/>
      </c>
      <c r="BJ28" s="238"/>
      <c r="BK28" s="239"/>
      <c r="BL28" s="240"/>
      <c r="BM28" s="55">
        <f t="shared" si="27"/>
        <v>24</v>
      </c>
      <c r="BN28" s="56" t="str">
        <f t="shared" si="28"/>
        <v>lø</v>
      </c>
      <c r="BO28" s="57" t="s">
        <v>77</v>
      </c>
      <c r="BP28" s="58" t="str">
        <f t="shared" si="29"/>
        <v/>
      </c>
      <c r="BQ28" s="238"/>
      <c r="BR28" s="239"/>
      <c r="BS28" s="240"/>
      <c r="BT28" s="55">
        <f t="shared" si="30"/>
        <v>24</v>
      </c>
      <c r="BU28" s="56" t="str">
        <f t="shared" si="31"/>
        <v>ti</v>
      </c>
      <c r="BV28" s="57" t="s">
        <v>128</v>
      </c>
      <c r="BW28" s="58" t="str">
        <f t="shared" si="32"/>
        <v/>
      </c>
      <c r="BX28" s="238"/>
      <c r="BY28" s="239"/>
      <c r="BZ28" s="240"/>
      <c r="CA28" s="55">
        <f t="shared" si="33"/>
        <v>24</v>
      </c>
      <c r="CB28" s="56" t="str">
        <f t="shared" si="34"/>
        <v>to</v>
      </c>
      <c r="CC28" s="57" t="s">
        <v>132</v>
      </c>
      <c r="CD28" s="58" t="str">
        <f t="shared" si="35"/>
        <v/>
      </c>
      <c r="CE28" s="263" t="s">
        <v>69</v>
      </c>
      <c r="CF28" s="264"/>
      <c r="CG28" s="265"/>
      <c r="CH28" s="75"/>
      <c r="CI28" s="98" t="s">
        <v>63</v>
      </c>
      <c r="CJ28" s="99">
        <f>CD43+BW43+BP43+BI43+BB43+AU43+AN43+AG43+Z43+S43+L43+E43</f>
        <v>8</v>
      </c>
      <c r="CK28" s="44"/>
      <c r="CL28" s="44"/>
    </row>
    <row r="29" spans="1:90" ht="18" customHeight="1" x14ac:dyDescent="0.2">
      <c r="A29" s="246"/>
      <c r="B29" s="55">
        <f t="shared" si="0"/>
        <v>25</v>
      </c>
      <c r="C29" s="56" t="str">
        <f t="shared" si="1"/>
        <v>sø</v>
      </c>
      <c r="D29" s="57" t="s">
        <v>77</v>
      </c>
      <c r="E29" s="58" t="str">
        <f t="shared" si="2"/>
        <v/>
      </c>
      <c r="F29" s="238"/>
      <c r="G29" s="239"/>
      <c r="H29" s="240"/>
      <c r="I29" s="55">
        <f t="shared" si="3"/>
        <v>25</v>
      </c>
      <c r="J29" s="56" t="str">
        <f t="shared" si="4"/>
        <v>on</v>
      </c>
      <c r="K29" s="57" t="s">
        <v>128</v>
      </c>
      <c r="L29" s="58" t="str">
        <f t="shared" si="5"/>
        <v/>
      </c>
      <c r="M29" s="238"/>
      <c r="N29" s="239"/>
      <c r="O29" s="240"/>
      <c r="P29" s="55">
        <f t="shared" si="6"/>
        <v>25</v>
      </c>
      <c r="Q29" s="56" t="str">
        <f t="shared" si="7"/>
        <v>fr</v>
      </c>
      <c r="R29" s="57" t="s">
        <v>128</v>
      </c>
      <c r="S29" s="58" t="str">
        <f t="shared" si="8"/>
        <v/>
      </c>
      <c r="T29" s="238"/>
      <c r="U29" s="239"/>
      <c r="V29" s="240"/>
      <c r="W29" s="55">
        <f t="shared" si="9"/>
        <v>25</v>
      </c>
      <c r="X29" s="56" t="str">
        <f t="shared" si="10"/>
        <v>ma</v>
      </c>
      <c r="Y29" s="57" t="s">
        <v>128</v>
      </c>
      <c r="Z29" s="58">
        <f t="shared" si="11"/>
        <v>48</v>
      </c>
      <c r="AA29" s="238"/>
      <c r="AB29" s="239"/>
      <c r="AC29" s="240"/>
      <c r="AD29" s="55">
        <f t="shared" si="12"/>
        <v>25</v>
      </c>
      <c r="AE29" s="56" t="str">
        <f t="shared" si="13"/>
        <v>on</v>
      </c>
      <c r="AF29" s="57" t="s">
        <v>76</v>
      </c>
      <c r="AG29" s="58" t="str">
        <f t="shared" si="14"/>
        <v/>
      </c>
      <c r="AH29" s="238" t="s">
        <v>86</v>
      </c>
      <c r="AI29" s="239"/>
      <c r="AJ29" s="240"/>
      <c r="AK29" s="55">
        <f t="shared" si="15"/>
        <v>25</v>
      </c>
      <c r="AL29" s="56" t="str">
        <f t="shared" si="16"/>
        <v>lø</v>
      </c>
      <c r="AM29" s="57" t="s">
        <v>75</v>
      </c>
      <c r="AN29" s="58" t="str">
        <f t="shared" si="17"/>
        <v/>
      </c>
      <c r="AO29" s="241"/>
      <c r="AP29" s="242"/>
      <c r="AQ29" s="243"/>
      <c r="AR29" s="55">
        <f t="shared" si="18"/>
        <v>25</v>
      </c>
      <c r="AS29" s="56" t="str">
        <f t="shared" si="19"/>
        <v>ti</v>
      </c>
      <c r="AT29" s="57" t="s">
        <v>133</v>
      </c>
      <c r="AU29" s="58" t="str">
        <f t="shared" si="20"/>
        <v/>
      </c>
      <c r="AV29" s="238" t="s">
        <v>164</v>
      </c>
      <c r="AW29" s="239"/>
      <c r="AX29" s="240"/>
      <c r="AY29" s="55">
        <f t="shared" si="21"/>
        <v>25</v>
      </c>
      <c r="AZ29" s="56" t="str">
        <f t="shared" si="22"/>
        <v>ti</v>
      </c>
      <c r="BA29" s="57" t="s">
        <v>128</v>
      </c>
      <c r="BB29" s="58" t="str">
        <f t="shared" si="23"/>
        <v/>
      </c>
      <c r="BC29" s="238"/>
      <c r="BD29" s="239"/>
      <c r="BE29" s="240"/>
      <c r="BF29" s="55">
        <f t="shared" si="24"/>
        <v>25</v>
      </c>
      <c r="BG29" s="56" t="str">
        <f t="shared" si="25"/>
        <v>fr</v>
      </c>
      <c r="BH29" s="57" t="s">
        <v>128</v>
      </c>
      <c r="BI29" s="58" t="str">
        <f t="shared" si="26"/>
        <v/>
      </c>
      <c r="BJ29" s="238"/>
      <c r="BK29" s="239"/>
      <c r="BL29" s="240"/>
      <c r="BM29" s="55">
        <f t="shared" si="27"/>
        <v>25</v>
      </c>
      <c r="BN29" s="56" t="str">
        <f t="shared" si="28"/>
        <v>sø</v>
      </c>
      <c r="BO29" s="57" t="s">
        <v>77</v>
      </c>
      <c r="BP29" s="58" t="str">
        <f t="shared" si="29"/>
        <v/>
      </c>
      <c r="BQ29" s="238"/>
      <c r="BR29" s="239"/>
      <c r="BS29" s="240"/>
      <c r="BT29" s="55">
        <f t="shared" si="30"/>
        <v>25</v>
      </c>
      <c r="BU29" s="56" t="str">
        <f t="shared" si="31"/>
        <v>on</v>
      </c>
      <c r="BV29" s="57" t="s">
        <v>70</v>
      </c>
      <c r="BW29" s="58" t="str">
        <f t="shared" si="32"/>
        <v/>
      </c>
      <c r="BX29" s="238" t="s">
        <v>157</v>
      </c>
      <c r="BY29" s="239"/>
      <c r="BZ29" s="240"/>
      <c r="CA29" s="55">
        <f t="shared" si="33"/>
        <v>25</v>
      </c>
      <c r="CB29" s="56" t="str">
        <f t="shared" si="34"/>
        <v>fr</v>
      </c>
      <c r="CC29" s="57" t="s">
        <v>132</v>
      </c>
      <c r="CD29" s="58" t="str">
        <f t="shared" si="35"/>
        <v/>
      </c>
      <c r="CE29" s="263" t="s">
        <v>69</v>
      </c>
      <c r="CF29" s="264"/>
      <c r="CG29" s="265"/>
      <c r="CH29" s="75"/>
      <c r="CI29" s="68" t="s">
        <v>138</v>
      </c>
      <c r="CJ29" s="69">
        <f>CD44+BW44+BP44+BI44+BB44+AU44+AN44+AG44+Z44+S44+L44+E44</f>
        <v>104</v>
      </c>
      <c r="CK29" s="44"/>
      <c r="CL29" s="44"/>
    </row>
    <row r="30" spans="1:90" ht="18" customHeight="1" x14ac:dyDescent="0.2">
      <c r="A30" s="78"/>
      <c r="B30" s="55">
        <f t="shared" si="0"/>
        <v>26</v>
      </c>
      <c r="C30" s="56" t="str">
        <f t="shared" si="1"/>
        <v>ma</v>
      </c>
      <c r="D30" s="57" t="s">
        <v>128</v>
      </c>
      <c r="E30" s="58">
        <f t="shared" si="2"/>
        <v>35</v>
      </c>
      <c r="F30" s="238"/>
      <c r="G30" s="239"/>
      <c r="H30" s="240"/>
      <c r="I30" s="55">
        <f t="shared" si="3"/>
        <v>26</v>
      </c>
      <c r="J30" s="56" t="str">
        <f t="shared" si="4"/>
        <v>to</v>
      </c>
      <c r="K30" s="57" t="s">
        <v>128</v>
      </c>
      <c r="L30" s="58" t="str">
        <f t="shared" si="5"/>
        <v/>
      </c>
      <c r="M30" s="238"/>
      <c r="N30" s="239"/>
      <c r="O30" s="240"/>
      <c r="P30" s="55">
        <f t="shared" si="6"/>
        <v>26</v>
      </c>
      <c r="Q30" s="56" t="str">
        <f t="shared" si="7"/>
        <v>lø</v>
      </c>
      <c r="R30" s="57" t="s">
        <v>75</v>
      </c>
      <c r="S30" s="58" t="str">
        <f t="shared" si="8"/>
        <v/>
      </c>
      <c r="T30" s="238"/>
      <c r="U30" s="239"/>
      <c r="V30" s="240"/>
      <c r="W30" s="55">
        <f t="shared" si="9"/>
        <v>26</v>
      </c>
      <c r="X30" s="56" t="str">
        <f t="shared" si="10"/>
        <v>ti</v>
      </c>
      <c r="Y30" s="57" t="s">
        <v>128</v>
      </c>
      <c r="Z30" s="58" t="str">
        <f t="shared" si="11"/>
        <v/>
      </c>
      <c r="AA30" s="238"/>
      <c r="AB30" s="239"/>
      <c r="AC30" s="240"/>
      <c r="AD30" s="55">
        <f t="shared" si="12"/>
        <v>26</v>
      </c>
      <c r="AE30" s="56" t="str">
        <f t="shared" si="13"/>
        <v>to</v>
      </c>
      <c r="AF30" s="57" t="s">
        <v>76</v>
      </c>
      <c r="AG30" s="58" t="str">
        <f t="shared" si="14"/>
        <v/>
      </c>
      <c r="AH30" s="238" t="s">
        <v>52</v>
      </c>
      <c r="AI30" s="239"/>
      <c r="AJ30" s="240"/>
      <c r="AK30" s="55">
        <f t="shared" si="15"/>
        <v>26</v>
      </c>
      <c r="AL30" s="56" t="str">
        <f t="shared" si="16"/>
        <v>sø</v>
      </c>
      <c r="AM30" s="57" t="s">
        <v>75</v>
      </c>
      <c r="AN30" s="58" t="str">
        <f t="shared" si="17"/>
        <v/>
      </c>
      <c r="AO30" s="241"/>
      <c r="AP30" s="242"/>
      <c r="AQ30" s="243"/>
      <c r="AR30" s="55">
        <f t="shared" si="18"/>
        <v>26</v>
      </c>
      <c r="AS30" s="56" t="str">
        <f t="shared" si="19"/>
        <v>on</v>
      </c>
      <c r="AT30" s="57" t="s">
        <v>133</v>
      </c>
      <c r="AU30" s="58" t="str">
        <f t="shared" si="20"/>
        <v/>
      </c>
      <c r="AV30" s="238" t="s">
        <v>164</v>
      </c>
      <c r="AW30" s="239"/>
      <c r="AX30" s="240"/>
      <c r="AY30" s="55">
        <f t="shared" si="21"/>
        <v>26</v>
      </c>
      <c r="AZ30" s="56" t="str">
        <f t="shared" si="22"/>
        <v>on</v>
      </c>
      <c r="BA30" s="57" t="s">
        <v>128</v>
      </c>
      <c r="BB30" s="58" t="str">
        <f t="shared" si="23"/>
        <v/>
      </c>
      <c r="BC30" s="238"/>
      <c r="BD30" s="239"/>
      <c r="BE30" s="240"/>
      <c r="BF30" s="55">
        <f t="shared" si="24"/>
        <v>26</v>
      </c>
      <c r="BG30" s="56" t="str">
        <f t="shared" si="25"/>
        <v>lø</v>
      </c>
      <c r="BH30" s="57" t="s">
        <v>77</v>
      </c>
      <c r="BI30" s="58" t="str">
        <f t="shared" si="26"/>
        <v/>
      </c>
      <c r="BJ30" s="238"/>
      <c r="BK30" s="239"/>
      <c r="BL30" s="240"/>
      <c r="BM30" s="55">
        <f t="shared" si="27"/>
        <v>26</v>
      </c>
      <c r="BN30" s="56" t="str">
        <f t="shared" si="28"/>
        <v>ma</v>
      </c>
      <c r="BO30" s="57" t="s">
        <v>128</v>
      </c>
      <c r="BP30" s="58">
        <f t="shared" si="29"/>
        <v>21.714285714285715</v>
      </c>
      <c r="BQ30" s="238"/>
      <c r="BR30" s="239"/>
      <c r="BS30" s="240"/>
      <c r="BT30" s="55">
        <f t="shared" si="30"/>
        <v>26</v>
      </c>
      <c r="BU30" s="56" t="str">
        <f t="shared" si="31"/>
        <v>to</v>
      </c>
      <c r="BV30" s="57" t="s">
        <v>83</v>
      </c>
      <c r="BW30" s="58" t="str">
        <f t="shared" si="32"/>
        <v/>
      </c>
      <c r="BX30" s="238" t="s">
        <v>156</v>
      </c>
      <c r="BY30" s="239"/>
      <c r="BZ30" s="240"/>
      <c r="CA30" s="55">
        <f t="shared" si="33"/>
        <v>26</v>
      </c>
      <c r="CB30" s="56" t="str">
        <f t="shared" si="34"/>
        <v>lø</v>
      </c>
      <c r="CC30" s="57" t="s">
        <v>77</v>
      </c>
      <c r="CD30" s="58" t="str">
        <f t="shared" si="35"/>
        <v/>
      </c>
      <c r="CE30" s="263" t="s">
        <v>69</v>
      </c>
      <c r="CF30" s="264"/>
      <c r="CG30" s="265"/>
      <c r="CH30" s="75"/>
      <c r="CI30" s="68" t="s">
        <v>141</v>
      </c>
      <c r="CJ30" s="69">
        <f>CI118</f>
        <v>0</v>
      </c>
      <c r="CK30" s="44"/>
      <c r="CL30" s="44"/>
    </row>
    <row r="31" spans="1:90" ht="18" customHeight="1" x14ac:dyDescent="0.2">
      <c r="A31" s="78"/>
      <c r="B31" s="55">
        <f t="shared" si="0"/>
        <v>27</v>
      </c>
      <c r="C31" s="56" t="str">
        <f t="shared" si="1"/>
        <v>ti</v>
      </c>
      <c r="D31" s="57" t="s">
        <v>128</v>
      </c>
      <c r="E31" s="58" t="str">
        <f t="shared" si="2"/>
        <v/>
      </c>
      <c r="F31" s="238"/>
      <c r="G31" s="239"/>
      <c r="H31" s="240"/>
      <c r="I31" s="55">
        <f t="shared" si="3"/>
        <v>27</v>
      </c>
      <c r="J31" s="56" t="str">
        <f t="shared" si="4"/>
        <v>fr</v>
      </c>
      <c r="K31" s="57" t="s">
        <v>128</v>
      </c>
      <c r="L31" s="58" t="str">
        <f t="shared" si="5"/>
        <v/>
      </c>
      <c r="M31" s="238"/>
      <c r="N31" s="239"/>
      <c r="O31" s="240"/>
      <c r="P31" s="55">
        <f t="shared" si="6"/>
        <v>27</v>
      </c>
      <c r="Q31" s="56" t="str">
        <f t="shared" si="7"/>
        <v>sø</v>
      </c>
      <c r="R31" s="57" t="s">
        <v>75</v>
      </c>
      <c r="S31" s="58" t="str">
        <f t="shared" si="8"/>
        <v/>
      </c>
      <c r="T31" s="238"/>
      <c r="U31" s="239"/>
      <c r="V31" s="240"/>
      <c r="W31" s="55">
        <f t="shared" si="9"/>
        <v>27</v>
      </c>
      <c r="X31" s="56" t="str">
        <f t="shared" si="10"/>
        <v>on</v>
      </c>
      <c r="Y31" s="57" t="s">
        <v>128</v>
      </c>
      <c r="Z31" s="58" t="str">
        <f t="shared" si="11"/>
        <v/>
      </c>
      <c r="AA31" s="238"/>
      <c r="AB31" s="239"/>
      <c r="AC31" s="240"/>
      <c r="AD31" s="55">
        <f t="shared" si="12"/>
        <v>27</v>
      </c>
      <c r="AE31" s="56" t="str">
        <f t="shared" si="13"/>
        <v>fr</v>
      </c>
      <c r="AF31" s="57" t="s">
        <v>80</v>
      </c>
      <c r="AG31" s="58" t="str">
        <f t="shared" si="14"/>
        <v/>
      </c>
      <c r="AH31" s="238" t="s">
        <v>193</v>
      </c>
      <c r="AI31" s="239"/>
      <c r="AJ31" s="240"/>
      <c r="AK31" s="55">
        <f t="shared" si="15"/>
        <v>27</v>
      </c>
      <c r="AL31" s="56" t="str">
        <f t="shared" si="16"/>
        <v>ma</v>
      </c>
      <c r="AM31" s="57" t="s">
        <v>128</v>
      </c>
      <c r="AN31" s="58">
        <f t="shared" si="17"/>
        <v>4.7142857142857144</v>
      </c>
      <c r="AO31" s="241"/>
      <c r="AP31" s="242"/>
      <c r="AQ31" s="243"/>
      <c r="AR31" s="55">
        <f t="shared" si="18"/>
        <v>27</v>
      </c>
      <c r="AS31" s="56" t="str">
        <f t="shared" si="19"/>
        <v>to</v>
      </c>
      <c r="AT31" s="57" t="s">
        <v>133</v>
      </c>
      <c r="AU31" s="58" t="str">
        <f t="shared" si="20"/>
        <v/>
      </c>
      <c r="AV31" s="238" t="s">
        <v>164</v>
      </c>
      <c r="AW31" s="239"/>
      <c r="AX31" s="240"/>
      <c r="AY31" s="55">
        <f t="shared" si="21"/>
        <v>27</v>
      </c>
      <c r="AZ31" s="56" t="str">
        <f t="shared" si="22"/>
        <v>to</v>
      </c>
      <c r="BA31" s="57" t="s">
        <v>128</v>
      </c>
      <c r="BB31" s="58" t="str">
        <f t="shared" si="23"/>
        <v/>
      </c>
      <c r="BC31" s="238"/>
      <c r="BD31" s="239"/>
      <c r="BE31" s="240"/>
      <c r="BF31" s="55">
        <f t="shared" si="24"/>
        <v>27</v>
      </c>
      <c r="BG31" s="56" t="str">
        <f t="shared" si="25"/>
        <v>sø</v>
      </c>
      <c r="BH31" s="57" t="s">
        <v>77</v>
      </c>
      <c r="BI31" s="58" t="str">
        <f t="shared" si="26"/>
        <v/>
      </c>
      <c r="BJ31" s="238"/>
      <c r="BK31" s="239"/>
      <c r="BL31" s="240"/>
      <c r="BM31" s="55">
        <f t="shared" si="27"/>
        <v>27</v>
      </c>
      <c r="BN31" s="56" t="str">
        <f t="shared" si="28"/>
        <v>ti</v>
      </c>
      <c r="BO31" s="57" t="s">
        <v>128</v>
      </c>
      <c r="BP31" s="58" t="str">
        <f t="shared" si="29"/>
        <v/>
      </c>
      <c r="BQ31" s="238"/>
      <c r="BR31" s="239"/>
      <c r="BS31" s="240"/>
      <c r="BT31" s="55">
        <f t="shared" si="30"/>
        <v>27</v>
      </c>
      <c r="BU31" s="56" t="str">
        <f t="shared" si="31"/>
        <v>fr</v>
      </c>
      <c r="BV31" s="57" t="s">
        <v>133</v>
      </c>
      <c r="BW31" s="58" t="str">
        <f t="shared" si="32"/>
        <v/>
      </c>
      <c r="BX31" s="238" t="s">
        <v>155</v>
      </c>
      <c r="BY31" s="239"/>
      <c r="BZ31" s="240"/>
      <c r="CA31" s="55">
        <f t="shared" si="33"/>
        <v>27</v>
      </c>
      <c r="CB31" s="56" t="str">
        <f t="shared" si="34"/>
        <v>sø</v>
      </c>
      <c r="CC31" s="57" t="s">
        <v>77</v>
      </c>
      <c r="CD31" s="58" t="str">
        <f t="shared" si="35"/>
        <v/>
      </c>
      <c r="CE31" s="263" t="s">
        <v>69</v>
      </c>
      <c r="CF31" s="264"/>
      <c r="CG31" s="265"/>
      <c r="CH31" s="75"/>
      <c r="CI31" s="70" t="s">
        <v>79</v>
      </c>
      <c r="CJ31" s="71">
        <f>CD45+BW45+BP45+BI45+BB45+AU45+AN45+AG45+Z45+S45+L45+E45</f>
        <v>8</v>
      </c>
      <c r="CK31" s="44"/>
      <c r="CL31" s="44"/>
    </row>
    <row r="32" spans="1:90" ht="18" customHeight="1" x14ac:dyDescent="0.2">
      <c r="A32" s="78"/>
      <c r="B32" s="55">
        <f t="shared" si="0"/>
        <v>28</v>
      </c>
      <c r="C32" s="56" t="str">
        <f t="shared" si="1"/>
        <v>on</v>
      </c>
      <c r="D32" s="57" t="s">
        <v>128</v>
      </c>
      <c r="E32" s="58" t="str">
        <f t="shared" si="2"/>
        <v/>
      </c>
      <c r="F32" s="238"/>
      <c r="G32" s="239"/>
      <c r="H32" s="240"/>
      <c r="I32" s="55">
        <f t="shared" si="3"/>
        <v>28</v>
      </c>
      <c r="J32" s="56" t="str">
        <f t="shared" si="4"/>
        <v>lø</v>
      </c>
      <c r="K32" s="57" t="s">
        <v>77</v>
      </c>
      <c r="L32" s="58" t="str">
        <f t="shared" si="5"/>
        <v/>
      </c>
      <c r="M32" s="238"/>
      <c r="N32" s="239"/>
      <c r="O32" s="240"/>
      <c r="P32" s="55">
        <f t="shared" si="6"/>
        <v>28</v>
      </c>
      <c r="Q32" s="56" t="str">
        <f t="shared" si="7"/>
        <v>ma</v>
      </c>
      <c r="R32" s="57" t="s">
        <v>128</v>
      </c>
      <c r="S32" s="58">
        <f t="shared" si="8"/>
        <v>44</v>
      </c>
      <c r="T32" s="238"/>
      <c r="U32" s="239"/>
      <c r="V32" s="240"/>
      <c r="W32" s="55">
        <f t="shared" si="9"/>
        <v>28</v>
      </c>
      <c r="X32" s="56" t="str">
        <f t="shared" si="10"/>
        <v>to</v>
      </c>
      <c r="Y32" s="57" t="s">
        <v>128</v>
      </c>
      <c r="Z32" s="58" t="str">
        <f t="shared" si="11"/>
        <v/>
      </c>
      <c r="AA32" s="238"/>
      <c r="AB32" s="239"/>
      <c r="AC32" s="240"/>
      <c r="AD32" s="55">
        <f t="shared" si="12"/>
        <v>28</v>
      </c>
      <c r="AE32" s="56" t="str">
        <f t="shared" si="13"/>
        <v>lø</v>
      </c>
      <c r="AF32" s="57" t="s">
        <v>77</v>
      </c>
      <c r="AG32" s="58" t="str">
        <f t="shared" si="14"/>
        <v/>
      </c>
      <c r="AH32" s="241"/>
      <c r="AI32" s="242"/>
      <c r="AJ32" s="243"/>
      <c r="AK32" s="55">
        <f t="shared" si="15"/>
        <v>28</v>
      </c>
      <c r="AL32" s="56" t="str">
        <f t="shared" si="16"/>
        <v>ti</v>
      </c>
      <c r="AM32" s="57" t="s">
        <v>128</v>
      </c>
      <c r="AN32" s="58" t="str">
        <f t="shared" si="17"/>
        <v/>
      </c>
      <c r="AO32" s="241"/>
      <c r="AP32" s="242"/>
      <c r="AQ32" s="243"/>
      <c r="AR32" s="55">
        <f t="shared" si="18"/>
        <v>28</v>
      </c>
      <c r="AS32" s="56" t="str">
        <f t="shared" si="19"/>
        <v>fr</v>
      </c>
      <c r="AT32" s="57" t="s">
        <v>133</v>
      </c>
      <c r="AU32" s="58" t="str">
        <f t="shared" si="20"/>
        <v/>
      </c>
      <c r="AV32" s="238" t="s">
        <v>164</v>
      </c>
      <c r="AW32" s="239"/>
      <c r="AX32" s="240"/>
      <c r="AY32" s="55">
        <f t="shared" si="21"/>
        <v>28</v>
      </c>
      <c r="AZ32" s="56" t="str">
        <f t="shared" si="22"/>
        <v>fr</v>
      </c>
      <c r="BA32" s="57" t="s">
        <v>128</v>
      </c>
      <c r="BB32" s="58" t="str">
        <f t="shared" si="23"/>
        <v/>
      </c>
      <c r="BC32" s="238"/>
      <c r="BD32" s="239"/>
      <c r="BE32" s="240"/>
      <c r="BF32" s="55">
        <f t="shared" si="24"/>
        <v>28</v>
      </c>
      <c r="BG32" s="56" t="str">
        <f t="shared" si="25"/>
        <v>ma</v>
      </c>
      <c r="BH32" s="57" t="s">
        <v>128</v>
      </c>
      <c r="BI32" s="58">
        <f t="shared" si="26"/>
        <v>17.714285714285715</v>
      </c>
      <c r="BJ32" s="238"/>
      <c r="BK32" s="239"/>
      <c r="BL32" s="240"/>
      <c r="BM32" s="55">
        <f t="shared" si="27"/>
        <v>28</v>
      </c>
      <c r="BN32" s="56" t="str">
        <f t="shared" si="28"/>
        <v>on</v>
      </c>
      <c r="BO32" s="57" t="s">
        <v>128</v>
      </c>
      <c r="BP32" s="58" t="str">
        <f t="shared" si="29"/>
        <v/>
      </c>
      <c r="BQ32" s="238"/>
      <c r="BR32" s="239"/>
      <c r="BS32" s="240"/>
      <c r="BT32" s="55">
        <f t="shared" si="30"/>
        <v>28</v>
      </c>
      <c r="BU32" s="56" t="str">
        <f t="shared" si="31"/>
        <v>lø</v>
      </c>
      <c r="BV32" s="57" t="s">
        <v>77</v>
      </c>
      <c r="BW32" s="58" t="str">
        <f t="shared" si="32"/>
        <v/>
      </c>
      <c r="BX32" s="238"/>
      <c r="BY32" s="239"/>
      <c r="BZ32" s="240"/>
      <c r="CA32" s="55">
        <f t="shared" si="33"/>
        <v>28</v>
      </c>
      <c r="CB32" s="56" t="str">
        <f t="shared" si="34"/>
        <v>ma</v>
      </c>
      <c r="CC32" s="57" t="s">
        <v>132</v>
      </c>
      <c r="CD32" s="58">
        <f t="shared" si="35"/>
        <v>30.714285714285715</v>
      </c>
      <c r="CE32" s="263" t="s">
        <v>69</v>
      </c>
      <c r="CF32" s="264"/>
      <c r="CG32" s="265"/>
      <c r="CH32" s="75"/>
      <c r="CI32" s="72" t="s">
        <v>62</v>
      </c>
      <c r="CJ32" s="73">
        <f>CD46+BW46+BP46+BI46+BB46+AU46+AN46+AG46+Z46+S46+L46+E46</f>
        <v>25</v>
      </c>
      <c r="CK32" s="44"/>
      <c r="CL32" s="44"/>
    </row>
    <row r="33" spans="1:90" ht="18" customHeight="1" x14ac:dyDescent="0.2">
      <c r="A33" s="119"/>
      <c r="B33" s="55">
        <f>IF(ISNUMBER(B32),B32+1,1)</f>
        <v>29</v>
      </c>
      <c r="C33" s="56" t="str">
        <f t="shared" si="1"/>
        <v>to</v>
      </c>
      <c r="D33" s="57" t="s">
        <v>128</v>
      </c>
      <c r="E33" s="58" t="str">
        <f t="shared" si="2"/>
        <v/>
      </c>
      <c r="F33" s="238"/>
      <c r="G33" s="239"/>
      <c r="H33" s="240"/>
      <c r="I33" s="55">
        <f>IF(ISNUMBER(I32),I32+1,1)</f>
        <v>29</v>
      </c>
      <c r="J33" s="56" t="str">
        <f t="shared" si="4"/>
        <v>sø</v>
      </c>
      <c r="K33" s="57" t="s">
        <v>77</v>
      </c>
      <c r="L33" s="58" t="str">
        <f t="shared" si="5"/>
        <v/>
      </c>
      <c r="M33" s="238"/>
      <c r="N33" s="239"/>
      <c r="O33" s="240"/>
      <c r="P33" s="55">
        <f>IF(ISNUMBER(P32),P32+1,1)</f>
        <v>29</v>
      </c>
      <c r="Q33" s="56" t="str">
        <f t="shared" si="7"/>
        <v>ti</v>
      </c>
      <c r="R33" s="57" t="s">
        <v>128</v>
      </c>
      <c r="S33" s="58" t="str">
        <f t="shared" si="8"/>
        <v/>
      </c>
      <c r="T33" s="238"/>
      <c r="U33" s="239"/>
      <c r="V33" s="240"/>
      <c r="W33" s="55">
        <f>IF(ISNUMBER(W32),W32+1,1)</f>
        <v>29</v>
      </c>
      <c r="X33" s="56" t="str">
        <f t="shared" si="10"/>
        <v>fr</v>
      </c>
      <c r="Y33" s="57" t="s">
        <v>128</v>
      </c>
      <c r="Z33" s="58" t="str">
        <f t="shared" si="11"/>
        <v/>
      </c>
      <c r="AA33" s="238"/>
      <c r="AB33" s="239"/>
      <c r="AC33" s="240"/>
      <c r="AD33" s="55">
        <f>IF(ISNUMBER(AD32),AD32+1,1)</f>
        <v>29</v>
      </c>
      <c r="AE33" s="56" t="str">
        <f t="shared" si="13"/>
        <v>sø</v>
      </c>
      <c r="AF33" s="57" t="s">
        <v>77</v>
      </c>
      <c r="AG33" s="58" t="str">
        <f t="shared" si="14"/>
        <v/>
      </c>
      <c r="AH33" s="238"/>
      <c r="AI33" s="239"/>
      <c r="AJ33" s="240"/>
      <c r="AK33" s="55">
        <f>IF(ISNUMBER(AK32),AK32+1,1)</f>
        <v>29</v>
      </c>
      <c r="AL33" s="56" t="str">
        <f t="shared" si="16"/>
        <v>on</v>
      </c>
      <c r="AM33" s="57" t="s">
        <v>128</v>
      </c>
      <c r="AN33" s="58" t="str">
        <f t="shared" si="17"/>
        <v/>
      </c>
      <c r="AO33" s="241"/>
      <c r="AP33" s="242"/>
      <c r="AQ33" s="243"/>
      <c r="AR33" s="141"/>
      <c r="AS33" s="42"/>
      <c r="AT33" s="142"/>
      <c r="AU33" s="143" t="str">
        <f>IF(AS33="ma",(DATE(AR$3,AR$2,AR33)-DATE(AR$3,1,1)+7)/7,"")</f>
        <v/>
      </c>
      <c r="AV33" s="234"/>
      <c r="AW33" s="234"/>
      <c r="AX33" s="235"/>
      <c r="AY33" s="55">
        <f>IF(ISNUMBER(AY32),AY32+1,1)</f>
        <v>29</v>
      </c>
      <c r="AZ33" s="56" t="str">
        <f t="shared" si="22"/>
        <v>lø</v>
      </c>
      <c r="BA33" s="57" t="s">
        <v>77</v>
      </c>
      <c r="BB33" s="58" t="str">
        <f t="shared" si="23"/>
        <v/>
      </c>
      <c r="BC33" s="238"/>
      <c r="BD33" s="239"/>
      <c r="BE33" s="240"/>
      <c r="BF33" s="55">
        <f>IF(ISNUMBER(BF32),BF32+1,1)</f>
        <v>29</v>
      </c>
      <c r="BG33" s="56" t="str">
        <f t="shared" si="25"/>
        <v>ti</v>
      </c>
      <c r="BH33" s="57" t="s">
        <v>128</v>
      </c>
      <c r="BI33" s="58" t="str">
        <f t="shared" si="26"/>
        <v/>
      </c>
      <c r="BJ33" s="238"/>
      <c r="BK33" s="239"/>
      <c r="BL33" s="240"/>
      <c r="BM33" s="55">
        <f>IF(ISNUMBER(BM32),BM32+1,1)</f>
        <v>29</v>
      </c>
      <c r="BN33" s="56" t="str">
        <f t="shared" si="28"/>
        <v>to</v>
      </c>
      <c r="BO33" s="57" t="s">
        <v>76</v>
      </c>
      <c r="BP33" s="58" t="str">
        <f t="shared" si="29"/>
        <v/>
      </c>
      <c r="BQ33" s="238" t="s">
        <v>104</v>
      </c>
      <c r="BR33" s="239"/>
      <c r="BS33" s="240"/>
      <c r="BT33" s="55">
        <f>IF(ISNUMBER(BT32),BT32+1,1)</f>
        <v>29</v>
      </c>
      <c r="BU33" s="56" t="str">
        <f t="shared" si="31"/>
        <v>sø</v>
      </c>
      <c r="BV33" s="57" t="s">
        <v>77</v>
      </c>
      <c r="BW33" s="58" t="str">
        <f t="shared" si="32"/>
        <v/>
      </c>
      <c r="BX33" s="238"/>
      <c r="BY33" s="239"/>
      <c r="BZ33" s="240"/>
      <c r="CA33" s="55">
        <f>IF(ISNUMBER(CA32),CA32+1,1)</f>
        <v>29</v>
      </c>
      <c r="CB33" s="56" t="str">
        <f t="shared" si="34"/>
        <v>ti</v>
      </c>
      <c r="CC33" s="57" t="s">
        <v>132</v>
      </c>
      <c r="CD33" s="58" t="str">
        <f t="shared" si="35"/>
        <v/>
      </c>
      <c r="CE33" s="263" t="s">
        <v>69</v>
      </c>
      <c r="CF33" s="264"/>
      <c r="CG33" s="265"/>
      <c r="CH33" s="75"/>
      <c r="CI33" s="100" t="s">
        <v>139</v>
      </c>
      <c r="CJ33" s="101">
        <f>CD47+BW47+BP47+BI47+BB47+AU47+AN47+AG47+Z47+S47+L47+E47</f>
        <v>20</v>
      </c>
      <c r="CK33" s="44"/>
      <c r="CL33" s="44"/>
    </row>
    <row r="34" spans="1:90" ht="18" customHeight="1" x14ac:dyDescent="0.2">
      <c r="A34" s="119"/>
      <c r="B34" s="55">
        <f t="shared" si="0"/>
        <v>30</v>
      </c>
      <c r="C34" s="56" t="str">
        <f t="shared" si="1"/>
        <v>fr</v>
      </c>
      <c r="D34" s="57" t="s">
        <v>128</v>
      </c>
      <c r="E34" s="58" t="str">
        <f t="shared" si="2"/>
        <v/>
      </c>
      <c r="F34" s="238"/>
      <c r="G34" s="239"/>
      <c r="H34" s="240"/>
      <c r="I34" s="55">
        <f t="shared" si="3"/>
        <v>30</v>
      </c>
      <c r="J34" s="56" t="str">
        <f t="shared" si="4"/>
        <v>ma</v>
      </c>
      <c r="K34" s="57" t="s">
        <v>128</v>
      </c>
      <c r="L34" s="58">
        <f t="shared" si="5"/>
        <v>40</v>
      </c>
      <c r="M34" s="241"/>
      <c r="N34" s="242"/>
      <c r="O34" s="243"/>
      <c r="P34" s="55">
        <f t="shared" si="6"/>
        <v>30</v>
      </c>
      <c r="Q34" s="56" t="str">
        <f t="shared" si="7"/>
        <v>on</v>
      </c>
      <c r="R34" s="57" t="s">
        <v>128</v>
      </c>
      <c r="S34" s="58" t="str">
        <f t="shared" si="8"/>
        <v/>
      </c>
      <c r="T34" s="238"/>
      <c r="U34" s="239"/>
      <c r="V34" s="240"/>
      <c r="W34" s="55">
        <f t="shared" si="9"/>
        <v>30</v>
      </c>
      <c r="X34" s="56" t="str">
        <f t="shared" si="10"/>
        <v>lø</v>
      </c>
      <c r="Y34" s="57" t="s">
        <v>77</v>
      </c>
      <c r="Z34" s="58" t="str">
        <f t="shared" si="11"/>
        <v/>
      </c>
      <c r="AA34" s="241"/>
      <c r="AB34" s="242"/>
      <c r="AC34" s="243"/>
      <c r="AD34" s="55">
        <f t="shared" si="12"/>
        <v>30</v>
      </c>
      <c r="AE34" s="56" t="str">
        <f t="shared" si="13"/>
        <v>ma</v>
      </c>
      <c r="AF34" s="57" t="s">
        <v>80</v>
      </c>
      <c r="AG34" s="58">
        <v>1</v>
      </c>
      <c r="AH34" s="238" t="s">
        <v>191</v>
      </c>
      <c r="AI34" s="239"/>
      <c r="AJ34" s="240"/>
      <c r="AK34" s="55">
        <f t="shared" si="15"/>
        <v>30</v>
      </c>
      <c r="AL34" s="56" t="str">
        <f t="shared" si="16"/>
        <v>to</v>
      </c>
      <c r="AM34" s="57" t="s">
        <v>128</v>
      </c>
      <c r="AN34" s="58" t="str">
        <f t="shared" si="17"/>
        <v/>
      </c>
      <c r="AO34" s="241"/>
      <c r="AP34" s="242"/>
      <c r="AQ34" s="243"/>
      <c r="AR34" s="43"/>
      <c r="AS34" s="43"/>
      <c r="AT34" s="45"/>
      <c r="AU34" s="47"/>
      <c r="AY34" s="55">
        <f t="shared" si="21"/>
        <v>30</v>
      </c>
      <c r="AZ34" s="56" t="str">
        <f t="shared" si="22"/>
        <v>sø</v>
      </c>
      <c r="BA34" s="57" t="s">
        <v>77</v>
      </c>
      <c r="BB34" s="58" t="str">
        <f t="shared" si="23"/>
        <v/>
      </c>
      <c r="BC34" s="238"/>
      <c r="BD34" s="239"/>
      <c r="BE34" s="240"/>
      <c r="BF34" s="55">
        <f t="shared" si="24"/>
        <v>30</v>
      </c>
      <c r="BG34" s="56" t="str">
        <f t="shared" si="25"/>
        <v>on</v>
      </c>
      <c r="BH34" s="57" t="s">
        <v>128</v>
      </c>
      <c r="BI34" s="58" t="str">
        <f t="shared" si="26"/>
        <v/>
      </c>
      <c r="BJ34" s="241"/>
      <c r="BK34" s="242"/>
      <c r="BL34" s="243"/>
      <c r="BM34" s="55">
        <f t="shared" si="27"/>
        <v>30</v>
      </c>
      <c r="BN34" s="56" t="str">
        <f t="shared" si="28"/>
        <v>fr</v>
      </c>
      <c r="BO34" s="57" t="s">
        <v>80</v>
      </c>
      <c r="BP34" s="58" t="str">
        <f t="shared" si="29"/>
        <v/>
      </c>
      <c r="BQ34" s="238"/>
      <c r="BR34" s="239"/>
      <c r="BS34" s="240"/>
      <c r="BT34" s="55">
        <f t="shared" si="30"/>
        <v>30</v>
      </c>
      <c r="BU34" s="56" t="str">
        <f t="shared" si="31"/>
        <v>ma</v>
      </c>
      <c r="BV34" s="57" t="s">
        <v>68</v>
      </c>
      <c r="BW34" s="58">
        <f t="shared" si="32"/>
        <v>26.714285714285715</v>
      </c>
      <c r="BX34" s="266" t="s">
        <v>198</v>
      </c>
      <c r="BY34" s="242"/>
      <c r="BZ34" s="243"/>
      <c r="CA34" s="55">
        <f t="shared" si="33"/>
        <v>30</v>
      </c>
      <c r="CB34" s="56" t="str">
        <f t="shared" si="34"/>
        <v>on</v>
      </c>
      <c r="CC34" s="57" t="s">
        <v>132</v>
      </c>
      <c r="CD34" s="58" t="str">
        <f t="shared" si="35"/>
        <v/>
      </c>
      <c r="CE34" s="263" t="s">
        <v>69</v>
      </c>
      <c r="CF34" s="264"/>
      <c r="CG34" s="265"/>
      <c r="CH34" s="75"/>
      <c r="CI34" s="80" t="s">
        <v>98</v>
      </c>
      <c r="CJ34" s="103">
        <f>CD48+BW48+BP48+BI48+BB48+AU48+AN48+AG48+Z48+S48+L48+E48</f>
        <v>0</v>
      </c>
      <c r="CK34" s="44"/>
      <c r="CL34" s="44"/>
    </row>
    <row r="35" spans="1:90" ht="18" customHeight="1" thickBot="1" x14ac:dyDescent="0.25">
      <c r="A35" s="119"/>
      <c r="B35" s="55">
        <f>IF(ISNUMBER(B34),B34+1,1)</f>
        <v>31</v>
      </c>
      <c r="C35" s="56" t="str">
        <f>CHOOSE(MOD(WEEKDAY(DATE(B$3,B$2,B35)),7)+1,"lø","sø","ma","ti","on","to","fr",)</f>
        <v>lø</v>
      </c>
      <c r="D35" s="57" t="s">
        <v>77</v>
      </c>
      <c r="E35" s="58" t="str">
        <f>IF(C35="ma",(DATE(B$3,B$2,B35)-DATE(B$3,1,1)+7)/7,"")</f>
        <v/>
      </c>
      <c r="F35" s="241"/>
      <c r="G35" s="242"/>
      <c r="H35" s="243"/>
      <c r="I35" s="42"/>
      <c r="J35" s="42"/>
      <c r="K35" s="46"/>
      <c r="L35" s="46"/>
      <c r="P35" s="55">
        <f>IF(ISNUMBER(P34),P34+1,1)</f>
        <v>31</v>
      </c>
      <c r="Q35" s="56" t="str">
        <f>CHOOSE(MOD(WEEKDAY(DATE(P$3,P$2,P35)),7)+1,"lø","sø","ma","ti","on","to","fr",)</f>
        <v>to</v>
      </c>
      <c r="R35" s="57" t="s">
        <v>128</v>
      </c>
      <c r="S35" s="58" t="str">
        <f>IF(Q35="ma",(DATE(P$3,P$2,P35)-DATE(P$3,1,1)+7)/7,"")</f>
        <v/>
      </c>
      <c r="T35" s="241"/>
      <c r="U35" s="242"/>
      <c r="V35" s="243"/>
      <c r="W35" s="42"/>
      <c r="X35" s="42"/>
      <c r="Y35" s="46"/>
      <c r="Z35" s="46"/>
      <c r="AD35" s="55">
        <f>IF(ISNUMBER(AD34),AD34+1,1)</f>
        <v>31</v>
      </c>
      <c r="AE35" s="56" t="str">
        <f>CHOOSE(MOD(WEEKDAY(DATE(AD$3,AD$2,AD35)),7)+1,"lø","sø","ma","ti","on","to","fr",)</f>
        <v>ti</v>
      </c>
      <c r="AF35" s="57" t="s">
        <v>80</v>
      </c>
      <c r="AG35" s="58" t="str">
        <f>IF(AE35="ma",(DATE(AD$3,AD$2,AD35)-DATE(AD$3,1,1)+7)/7-AG28,"")</f>
        <v/>
      </c>
      <c r="AH35" s="238" t="s">
        <v>192</v>
      </c>
      <c r="AI35" s="239"/>
      <c r="AJ35" s="240"/>
      <c r="AK35" s="55">
        <f>IF(ISNUMBER(AK34),AK34+1,1)</f>
        <v>31</v>
      </c>
      <c r="AL35" s="56" t="str">
        <f>CHOOSE(MOD(WEEKDAY(DATE(AK$3,AK$2,AK35)),7)+1,"lø","sø","ma","ti","on","to","fr",)</f>
        <v>fr</v>
      </c>
      <c r="AM35" s="57" t="s">
        <v>128</v>
      </c>
      <c r="AN35" s="58" t="str">
        <f>IF(AL35="ma",(DATE(AK$3,AK$2,AK35)-DATE(AK$3,1,1)+7)/7,"")</f>
        <v/>
      </c>
      <c r="AO35" s="241"/>
      <c r="AP35" s="242"/>
      <c r="AQ35" s="243"/>
      <c r="AR35" s="43"/>
      <c r="AS35" s="43"/>
      <c r="AT35" s="45"/>
      <c r="AU35" s="45"/>
      <c r="AY35" s="55">
        <f>IF(ISNUMBER(AY34),AY34+1,1)</f>
        <v>31</v>
      </c>
      <c r="AZ35" s="56" t="str">
        <f>CHOOSE(MOD(WEEKDAY(DATE(AY$3,AY$2,AY35)),7)+1,"lø","sø","ma","ti","on","to","fr",)</f>
        <v>ma</v>
      </c>
      <c r="BA35" s="57" t="s">
        <v>80</v>
      </c>
      <c r="BB35" s="58">
        <f>IF(AZ35="ma",(DATE(AY$3,AY$2,AY35)-DATE(AY$3,1,1)+7)/7,"")</f>
        <v>13.714285714285714</v>
      </c>
      <c r="BC35" s="260" t="s">
        <v>154</v>
      </c>
      <c r="BD35" s="261"/>
      <c r="BE35" s="262"/>
      <c r="BF35" s="34"/>
      <c r="BG35" s="34"/>
      <c r="BH35" s="34"/>
      <c r="BI35" s="34"/>
      <c r="BM35" s="55">
        <f>IF(ISNUMBER(BM34),BM34+1,1)</f>
        <v>31</v>
      </c>
      <c r="BN35" s="56" t="str">
        <f>CHOOSE(MOD(WEEKDAY(DATE(BM$3,BM$2,BM35)),7)+1,"lø","sø","ma","ti","on","to","fr",)</f>
        <v>lø</v>
      </c>
      <c r="BO35" s="57" t="s">
        <v>77</v>
      </c>
      <c r="BP35" s="58" t="str">
        <f>IF(BN35="ma",(DATE(BM$3,BM$2,BM35)-DATE(BM$3,1,1)+7)/7,"")</f>
        <v/>
      </c>
      <c r="BQ35" s="238"/>
      <c r="BR35" s="239"/>
      <c r="BS35" s="240"/>
      <c r="BT35" s="34"/>
      <c r="BU35" s="34"/>
      <c r="BV35" s="34"/>
      <c r="BW35" s="34"/>
      <c r="CA35" s="55">
        <f>IF(ISNUMBER(CA34),CA34+1,1)</f>
        <v>31</v>
      </c>
      <c r="CB35" s="56" t="str">
        <f>CHOOSE(MOD(WEEKDAY(DATE(CA$3,CA$2,CA35)),7)+1,"lø","sø","ma","ti","on","to","fr",)</f>
        <v>to</v>
      </c>
      <c r="CC35" s="57" t="s">
        <v>132</v>
      </c>
      <c r="CD35" s="58" t="str">
        <f>IF(CB35="ma",(DATE(CA$3,CA$2,CA35)-DATE(CA$3,1,1)+7)/7,"")</f>
        <v/>
      </c>
      <c r="CE35" s="241" t="s">
        <v>69</v>
      </c>
      <c r="CF35" s="242"/>
      <c r="CG35" s="243"/>
      <c r="CH35" s="75"/>
      <c r="CI35" s="102" t="s">
        <v>99</v>
      </c>
      <c r="CJ35" s="104">
        <f>CD49+BW49+BP49+BI49+BB49+AU49+AN49+AG49+Z49+S49+L49+E49-CJ34</f>
        <v>365</v>
      </c>
      <c r="CK35" s="44"/>
      <c r="CL35" s="44"/>
    </row>
    <row r="36" spans="1:90" ht="12.95" customHeight="1" thickTop="1" x14ac:dyDescent="0.2">
      <c r="A36" s="53"/>
      <c r="B36" s="34"/>
      <c r="C36" s="42"/>
      <c r="D36" s="34"/>
      <c r="E36" s="34"/>
      <c r="J36" s="43"/>
      <c r="P36" s="34"/>
      <c r="Q36" s="42"/>
      <c r="R36" s="34"/>
      <c r="S36" s="34"/>
      <c r="X36" s="43"/>
      <c r="AD36" s="34"/>
      <c r="AE36" s="42"/>
      <c r="AF36" s="34"/>
      <c r="AG36" s="34"/>
      <c r="AH36" s="34"/>
      <c r="AI36" s="34"/>
      <c r="AJ36" s="34"/>
      <c r="AK36" s="34"/>
      <c r="AL36" s="42"/>
      <c r="AM36" s="34"/>
      <c r="AN36" s="34"/>
      <c r="AO36" s="34"/>
      <c r="AS36" s="43"/>
      <c r="AU36" s="30"/>
      <c r="AY36" s="34"/>
      <c r="AZ36" s="42"/>
      <c r="BA36" s="34"/>
      <c r="BB36" s="34"/>
      <c r="BG36" s="43"/>
      <c r="BM36" s="34"/>
      <c r="BN36" s="42"/>
      <c r="BO36" s="34"/>
      <c r="BP36" s="34"/>
      <c r="BU36" s="43"/>
      <c r="CA36" s="34"/>
      <c r="CB36" s="42"/>
      <c r="CC36" s="34"/>
      <c r="CD36" s="34"/>
      <c r="CJ36" s="105"/>
    </row>
    <row r="37" spans="1:90" ht="15" customHeight="1" x14ac:dyDescent="0.2">
      <c r="A37" s="53" t="s">
        <v>128</v>
      </c>
      <c r="B37" s="97" t="s">
        <v>128</v>
      </c>
      <c r="C37" s="37"/>
      <c r="D37" s="38"/>
      <c r="E37" s="97">
        <f>COUNTIF(august,"Skema 1")</f>
        <v>17</v>
      </c>
      <c r="F37" s="59"/>
      <c r="G37" s="85" t="s">
        <v>108</v>
      </c>
      <c r="H37" s="86">
        <f>COUNTIFS($C$5:$C$35,"ma",august,"Skema 1")</f>
        <v>3</v>
      </c>
      <c r="I37" s="97" t="s">
        <v>128</v>
      </c>
      <c r="J37" s="37"/>
      <c r="K37" s="38"/>
      <c r="L37" s="97">
        <f>COUNTIF(september,"Skema 1")</f>
        <v>21</v>
      </c>
      <c r="M37" s="59"/>
      <c r="N37" s="85" t="s">
        <v>108</v>
      </c>
      <c r="O37" s="87">
        <f>COUNTIFS($J$5:$J$34,"ma",september,"Skema 1")</f>
        <v>5</v>
      </c>
      <c r="P37" s="97" t="s">
        <v>128</v>
      </c>
      <c r="Q37" s="37"/>
      <c r="R37" s="38"/>
      <c r="S37" s="97">
        <f>COUNTIF(oktober,"Skema 1")</f>
        <v>17</v>
      </c>
      <c r="T37" s="59"/>
      <c r="U37" s="85" t="s">
        <v>108</v>
      </c>
      <c r="V37" s="87">
        <f>COUNTIFS(Q5:Q35,"ma",oktober,"Skema 1")</f>
        <v>3</v>
      </c>
      <c r="W37" s="97" t="s">
        <v>128</v>
      </c>
      <c r="X37" s="37"/>
      <c r="Y37" s="38"/>
      <c r="Z37" s="97">
        <f>COUNTIF(november,"Skema 1")</f>
        <v>21</v>
      </c>
      <c r="AA37" s="59"/>
      <c r="AB37" s="85" t="s">
        <v>108</v>
      </c>
      <c r="AC37" s="87">
        <f>COUNTIFS(X5:X34,"ma",november,"Skema 1")</f>
        <v>4</v>
      </c>
      <c r="AD37" s="97" t="s">
        <v>128</v>
      </c>
      <c r="AE37" s="37"/>
      <c r="AF37" s="38"/>
      <c r="AG37" s="97">
        <f>COUNTIF(december,"Skema 1")</f>
        <v>15</v>
      </c>
      <c r="AH37" s="59"/>
      <c r="AI37" s="85" t="s">
        <v>108</v>
      </c>
      <c r="AJ37" s="87">
        <f>COUNTIFS(AE5:AE35,"ma",december,"Skema 1")</f>
        <v>3</v>
      </c>
      <c r="AK37" s="97" t="s">
        <v>128</v>
      </c>
      <c r="AL37" s="37"/>
      <c r="AM37" s="38"/>
      <c r="AN37" s="97">
        <f>COUNTIF(januar,"Skema 1")</f>
        <v>20</v>
      </c>
      <c r="AO37" s="59"/>
      <c r="AP37" s="85" t="s">
        <v>108</v>
      </c>
      <c r="AQ37" s="87">
        <f>COUNTIFS(AL5:AL35,"ma",januar,"Skema 1")</f>
        <v>4</v>
      </c>
      <c r="AR37" s="97" t="s">
        <v>128</v>
      </c>
      <c r="AS37" s="37"/>
      <c r="AT37" s="38"/>
      <c r="AU37" s="97">
        <f>COUNTIF(AT5:AT33,"Skema 1")</f>
        <v>10</v>
      </c>
      <c r="AV37" s="59"/>
      <c r="AW37" s="85" t="s">
        <v>108</v>
      </c>
      <c r="AX37" s="87">
        <f>COUNTIFS(AS5:AS33,"ma",februar,"Skema 1")</f>
        <v>2</v>
      </c>
      <c r="AY37" s="97" t="s">
        <v>128</v>
      </c>
      <c r="AZ37" s="37"/>
      <c r="BA37" s="38"/>
      <c r="BB37" s="97">
        <f>COUNTIF(marts,"Skema 1")</f>
        <v>20</v>
      </c>
      <c r="BC37" s="59"/>
      <c r="BD37" s="85" t="s">
        <v>108</v>
      </c>
      <c r="BE37" s="87">
        <f>COUNTIFS(AZ5:AZ35,"ma",marts,"Skema 1")</f>
        <v>4</v>
      </c>
      <c r="BF37" s="97" t="s">
        <v>128</v>
      </c>
      <c r="BG37" s="37"/>
      <c r="BH37" s="38"/>
      <c r="BI37" s="97">
        <f>COUNTIF(april,"Skema 1")</f>
        <v>16</v>
      </c>
      <c r="BJ37" s="59"/>
      <c r="BK37" s="85" t="s">
        <v>108</v>
      </c>
      <c r="BL37" s="87">
        <f>COUNTIFS(BG5:BG34,"ma",april,"Skema 1")</f>
        <v>2</v>
      </c>
      <c r="BM37" s="97" t="s">
        <v>128</v>
      </c>
      <c r="BN37" s="37"/>
      <c r="BO37" s="38"/>
      <c r="BP37" s="97">
        <f>COUNTIF(maj,"Skema 1")</f>
        <v>20</v>
      </c>
      <c r="BQ37" s="59"/>
      <c r="BR37" s="85" t="s">
        <v>108</v>
      </c>
      <c r="BS37" s="87">
        <f>COUNTIFS(BN5:BN35,"ma",maj,"Skema 1")</f>
        <v>4</v>
      </c>
      <c r="BT37" s="97" t="s">
        <v>128</v>
      </c>
      <c r="BU37" s="37"/>
      <c r="BV37" s="38"/>
      <c r="BW37" s="97">
        <f>COUNTIF(juni,"Skema 1")</f>
        <v>14</v>
      </c>
      <c r="BX37" s="59"/>
      <c r="BY37" s="85" t="s">
        <v>108</v>
      </c>
      <c r="BZ37" s="87">
        <f>COUNTIFS(BU5:BU34,"ma",juni,"Skema 1")</f>
        <v>3</v>
      </c>
      <c r="CA37" s="97" t="s">
        <v>128</v>
      </c>
      <c r="CB37" s="37"/>
      <c r="CC37" s="38"/>
      <c r="CD37" s="97">
        <f>COUNTIF(juli,"Skema 1")</f>
        <v>0</v>
      </c>
      <c r="CE37" s="59"/>
      <c r="CF37" s="85" t="s">
        <v>108</v>
      </c>
      <c r="CG37" s="87">
        <f>COUNTIFS(CB5:CB35,"ma",juli,"Skema 1")</f>
        <v>0</v>
      </c>
      <c r="CI37" s="30" t="s">
        <v>128</v>
      </c>
      <c r="CJ37" s="85" t="s">
        <v>24</v>
      </c>
      <c r="CK37" s="86">
        <f>CG37+BZ37+BS37+BL37+BE37+AX37+AQ37+AJ37+AC37+V37+O37+H37</f>
        <v>37</v>
      </c>
    </row>
    <row r="38" spans="1:90" ht="15" customHeight="1" x14ac:dyDescent="0.2">
      <c r="A38" s="53" t="s">
        <v>129</v>
      </c>
      <c r="B38" s="236" t="s">
        <v>129</v>
      </c>
      <c r="C38" s="237"/>
      <c r="D38" s="237"/>
      <c r="E38" s="97">
        <f>COUNTIF(august,"Skema 2")</f>
        <v>0</v>
      </c>
      <c r="F38" s="59"/>
      <c r="G38" s="41" t="s">
        <v>109</v>
      </c>
      <c r="H38" s="87">
        <f>COUNTIFS($C$5:$C$35,"ti",august,"Skema 1")</f>
        <v>3</v>
      </c>
      <c r="I38" s="236" t="s">
        <v>129</v>
      </c>
      <c r="J38" s="237"/>
      <c r="K38" s="237"/>
      <c r="L38" s="97">
        <f>COUNTIF(september,"Skema 2")</f>
        <v>0</v>
      </c>
      <c r="M38" s="59"/>
      <c r="N38" s="41" t="s">
        <v>109</v>
      </c>
      <c r="O38" s="87">
        <f>COUNTIFS($J$5:$J$34,"ti",september,"Skema 1")</f>
        <v>4</v>
      </c>
      <c r="P38" s="236" t="s">
        <v>129</v>
      </c>
      <c r="Q38" s="237"/>
      <c r="R38" s="237"/>
      <c r="S38" s="97">
        <f>COUNTIF(oktober,"Skema 2")</f>
        <v>0</v>
      </c>
      <c r="T38" s="59"/>
      <c r="U38" s="41" t="s">
        <v>109</v>
      </c>
      <c r="V38" s="87">
        <f>COUNTIFS(Q5:Q35,"ti",oktober,"Skema 1")</f>
        <v>4</v>
      </c>
      <c r="W38" s="236" t="s">
        <v>129</v>
      </c>
      <c r="X38" s="237"/>
      <c r="Y38" s="237"/>
      <c r="Z38" s="97">
        <f>COUNTIF(november,"Skema 2")</f>
        <v>0</v>
      </c>
      <c r="AA38" s="59"/>
      <c r="AB38" s="41" t="s">
        <v>109</v>
      </c>
      <c r="AC38" s="87">
        <f>COUNTIFS(X5:X34,"ti",november,"Skema 1")</f>
        <v>4</v>
      </c>
      <c r="AD38" s="236" t="s">
        <v>129</v>
      </c>
      <c r="AE38" s="237"/>
      <c r="AF38" s="237"/>
      <c r="AG38" s="97">
        <f>COUNTIF(december,"Skema 2")</f>
        <v>0</v>
      </c>
      <c r="AH38" s="59"/>
      <c r="AI38" s="41" t="s">
        <v>109</v>
      </c>
      <c r="AJ38" s="87">
        <f>COUNTIFS(AE5:AE35,"ti",december,"Skema 1")</f>
        <v>3</v>
      </c>
      <c r="AK38" s="236" t="s">
        <v>129</v>
      </c>
      <c r="AL38" s="237"/>
      <c r="AM38" s="237"/>
      <c r="AN38" s="97">
        <f>COUNTIF(januar,"Skema 2")</f>
        <v>0</v>
      </c>
      <c r="AO38" s="59"/>
      <c r="AP38" s="41" t="s">
        <v>109</v>
      </c>
      <c r="AQ38" s="87">
        <f>COUNTIFS(AL5:AL35,"ti",januar,"Skema 1")</f>
        <v>4</v>
      </c>
      <c r="AR38" s="236" t="s">
        <v>129</v>
      </c>
      <c r="AS38" s="237"/>
      <c r="AT38" s="237"/>
      <c r="AU38" s="97">
        <f>COUNTIF(AT5:AT33,"Skema 2")</f>
        <v>0</v>
      </c>
      <c r="AV38" s="59"/>
      <c r="AW38" s="41" t="s">
        <v>109</v>
      </c>
      <c r="AX38" s="87">
        <f>COUNTIFS(AS6:AS34,"ti",februar,"Skema 1")</f>
        <v>2</v>
      </c>
      <c r="AY38" s="236" t="s">
        <v>129</v>
      </c>
      <c r="AZ38" s="237"/>
      <c r="BA38" s="237"/>
      <c r="BB38" s="97">
        <f>COUNTIF(marts,"Skema 2")</f>
        <v>0</v>
      </c>
      <c r="BC38" s="59"/>
      <c r="BD38" s="41" t="s">
        <v>109</v>
      </c>
      <c r="BE38" s="87">
        <f>COUNTIFS(AZ5:AZ35,"ti",marts,"Skema 1")</f>
        <v>4</v>
      </c>
      <c r="BF38" s="236" t="s">
        <v>129</v>
      </c>
      <c r="BG38" s="237"/>
      <c r="BH38" s="237"/>
      <c r="BI38" s="97">
        <f>COUNTIF(april,"Skema 2")</f>
        <v>0</v>
      </c>
      <c r="BJ38" s="59"/>
      <c r="BK38" s="41" t="s">
        <v>109</v>
      </c>
      <c r="BL38" s="87">
        <f>COUNTIFS(BG5:BG34,"ti",april,"Skema 1")</f>
        <v>4</v>
      </c>
      <c r="BM38" s="236" t="s">
        <v>129</v>
      </c>
      <c r="BN38" s="237"/>
      <c r="BO38" s="237"/>
      <c r="BP38" s="97">
        <f>COUNTIF(maj,"Skema 2")</f>
        <v>0</v>
      </c>
      <c r="BQ38" s="59"/>
      <c r="BR38" s="41" t="s">
        <v>109</v>
      </c>
      <c r="BS38" s="87">
        <f>COUNTIFS(BN5:BN35,"ti",maj,"Skema 1")</f>
        <v>4</v>
      </c>
      <c r="BT38" s="236" t="s">
        <v>129</v>
      </c>
      <c r="BU38" s="237"/>
      <c r="BV38" s="237"/>
      <c r="BW38" s="97">
        <f>COUNTIF(juni,"Skema 2")</f>
        <v>0</v>
      </c>
      <c r="BX38" s="59"/>
      <c r="BY38" s="41" t="s">
        <v>109</v>
      </c>
      <c r="BZ38" s="87">
        <f>COUNTIFS(BU5:BU34,"ti",juni,"Skema 1")</f>
        <v>4</v>
      </c>
      <c r="CA38" s="236" t="s">
        <v>129</v>
      </c>
      <c r="CB38" s="237"/>
      <c r="CC38" s="237"/>
      <c r="CD38" s="97">
        <f>COUNTIF(juli,"Skema 2")</f>
        <v>0</v>
      </c>
      <c r="CE38" s="59"/>
      <c r="CF38" s="41" t="s">
        <v>109</v>
      </c>
      <c r="CG38" s="87">
        <f>COUNTIFS(CB5:CB35,"ti",juli,"Skema 1")</f>
        <v>0</v>
      </c>
      <c r="CI38" s="30" t="str">
        <f>CI37</f>
        <v>Skema 1</v>
      </c>
      <c r="CJ38" s="41" t="s">
        <v>25</v>
      </c>
      <c r="CK38" s="86">
        <f>CG38+BZ38+BS38+BL38+BE38+AX38+AQ38+AJ38+AC38+V38+O38+H38</f>
        <v>40</v>
      </c>
    </row>
    <row r="39" spans="1:90" ht="15" customHeight="1" x14ac:dyDescent="0.2">
      <c r="A39" s="53" t="s">
        <v>130</v>
      </c>
      <c r="B39" s="236" t="s">
        <v>130</v>
      </c>
      <c r="C39" s="237"/>
      <c r="D39" s="237"/>
      <c r="E39" s="97">
        <f>COUNTIF(august,"Skema 3")</f>
        <v>0</v>
      </c>
      <c r="F39" s="59"/>
      <c r="G39" s="41" t="s">
        <v>110</v>
      </c>
      <c r="H39" s="87">
        <f>COUNTIFS($C$5:$C$35,"on",august,"Skema 1")</f>
        <v>3</v>
      </c>
      <c r="I39" s="236" t="s">
        <v>130</v>
      </c>
      <c r="J39" s="237"/>
      <c r="K39" s="237"/>
      <c r="L39" s="97">
        <f>COUNTIF(september,"Skema 3")</f>
        <v>0</v>
      </c>
      <c r="M39" s="59"/>
      <c r="N39" s="41" t="s">
        <v>110</v>
      </c>
      <c r="O39" s="87">
        <f>COUNTIFS($J$5:$J$34,"on",september,"Skema 1")</f>
        <v>4</v>
      </c>
      <c r="P39" s="236" t="s">
        <v>130</v>
      </c>
      <c r="Q39" s="237"/>
      <c r="R39" s="237"/>
      <c r="S39" s="97">
        <f>COUNTIF(oktober,"Skema 3")</f>
        <v>0</v>
      </c>
      <c r="T39" s="59"/>
      <c r="U39" s="41" t="s">
        <v>110</v>
      </c>
      <c r="V39" s="87">
        <f>COUNTIFS(Q5:Q35,"on",oktober,"Skema 1")</f>
        <v>4</v>
      </c>
      <c r="W39" s="236" t="s">
        <v>130</v>
      </c>
      <c r="X39" s="237"/>
      <c r="Y39" s="237"/>
      <c r="Z39" s="97">
        <f>COUNTIF(november,"Skema 3")</f>
        <v>0</v>
      </c>
      <c r="AA39" s="59"/>
      <c r="AB39" s="41" t="s">
        <v>110</v>
      </c>
      <c r="AC39" s="87">
        <f>COUNTIFS(X5:X34,"on",november,"Skema 1")</f>
        <v>4</v>
      </c>
      <c r="AD39" s="236" t="s">
        <v>130</v>
      </c>
      <c r="AE39" s="237"/>
      <c r="AF39" s="237"/>
      <c r="AG39" s="97">
        <f>COUNTIF(december,"Skema 3")</f>
        <v>0</v>
      </c>
      <c r="AH39" s="59"/>
      <c r="AI39" s="41" t="s">
        <v>110</v>
      </c>
      <c r="AJ39" s="87">
        <f>COUNTIFS(AE5:AE35,"on",december,"Skema 1")</f>
        <v>3</v>
      </c>
      <c r="AK39" s="236" t="s">
        <v>130</v>
      </c>
      <c r="AL39" s="237"/>
      <c r="AM39" s="237"/>
      <c r="AN39" s="97">
        <f>COUNTIF(januar,"Skema 3")</f>
        <v>0</v>
      </c>
      <c r="AO39" s="59"/>
      <c r="AP39" s="41" t="s">
        <v>110</v>
      </c>
      <c r="AQ39" s="87">
        <f>COUNTIFS(AL5:AL35,"on",januar,"Skema 1")</f>
        <v>4</v>
      </c>
      <c r="AR39" s="236" t="s">
        <v>130</v>
      </c>
      <c r="AS39" s="237"/>
      <c r="AT39" s="237"/>
      <c r="AU39" s="97">
        <f>COUNTIF(AT5:AT33,"Skema 3")</f>
        <v>0</v>
      </c>
      <c r="AV39" s="59"/>
      <c r="AW39" s="41" t="s">
        <v>110</v>
      </c>
      <c r="AX39" s="87">
        <f>COUNTIFS(AS7:AS35,"on",februar,"Skema 1")</f>
        <v>2</v>
      </c>
      <c r="AY39" s="236" t="s">
        <v>130</v>
      </c>
      <c r="AZ39" s="237"/>
      <c r="BA39" s="237"/>
      <c r="BB39" s="97">
        <f>COUNTIF(marts,"Skema 3")</f>
        <v>0</v>
      </c>
      <c r="BC39" s="59"/>
      <c r="BD39" s="41" t="s">
        <v>110</v>
      </c>
      <c r="BE39" s="87">
        <f>COUNTIFS(AZ5:AZ35,"on",marts,"Skema 1")</f>
        <v>4</v>
      </c>
      <c r="BF39" s="236" t="s">
        <v>130</v>
      </c>
      <c r="BG39" s="237"/>
      <c r="BH39" s="237"/>
      <c r="BI39" s="97">
        <f>COUNTIF(april,"Skema 3")</f>
        <v>0</v>
      </c>
      <c r="BJ39" s="59"/>
      <c r="BK39" s="41" t="s">
        <v>110</v>
      </c>
      <c r="BL39" s="87">
        <f>COUNTIFS(BG5:BG34,"on",april,"Skema 1")</f>
        <v>4</v>
      </c>
      <c r="BM39" s="236" t="s">
        <v>130</v>
      </c>
      <c r="BN39" s="237"/>
      <c r="BO39" s="237"/>
      <c r="BP39" s="97">
        <f>COUNTIF(maj,"Skema 3")</f>
        <v>0</v>
      </c>
      <c r="BQ39" s="59"/>
      <c r="BR39" s="41" t="s">
        <v>110</v>
      </c>
      <c r="BS39" s="87">
        <f>COUNTIFS(BN5:BN35,"on",maj,"Skema 1")</f>
        <v>4</v>
      </c>
      <c r="BT39" s="236" t="s">
        <v>130</v>
      </c>
      <c r="BU39" s="237"/>
      <c r="BV39" s="237"/>
      <c r="BW39" s="97">
        <f>COUNTIF(juni,"Skema 3")</f>
        <v>0</v>
      </c>
      <c r="BX39" s="59"/>
      <c r="BY39" s="41" t="s">
        <v>110</v>
      </c>
      <c r="BZ39" s="87">
        <f>COUNTIFS(BU5:BU34,"on",juni,"Skema 1")</f>
        <v>3</v>
      </c>
      <c r="CA39" s="236" t="s">
        <v>130</v>
      </c>
      <c r="CB39" s="237"/>
      <c r="CC39" s="237"/>
      <c r="CD39" s="97">
        <f>COUNTIF(juli,"Skema 3")</f>
        <v>0</v>
      </c>
      <c r="CE39" s="59"/>
      <c r="CF39" s="41" t="s">
        <v>110</v>
      </c>
      <c r="CG39" s="87">
        <f>COUNTIFS(CB5:CB35,"on",juli,"Skema 1")</f>
        <v>0</v>
      </c>
      <c r="CI39" s="30" t="str">
        <f>CI38</f>
        <v>Skema 1</v>
      </c>
      <c r="CJ39" s="85" t="s">
        <v>26</v>
      </c>
      <c r="CK39" s="86">
        <f>CG39+BZ39+BS39+BL39+BE39+AX39+AQ39+AJ39+AC39+V39+O39+H39</f>
        <v>39</v>
      </c>
    </row>
    <row r="40" spans="1:90" ht="15" customHeight="1" x14ac:dyDescent="0.2">
      <c r="A40" s="53" t="s">
        <v>131</v>
      </c>
      <c r="B40" s="236" t="s">
        <v>131</v>
      </c>
      <c r="C40" s="237"/>
      <c r="D40" s="237"/>
      <c r="E40" s="97">
        <f>COUNTIF(august,"Skema 4")</f>
        <v>0</v>
      </c>
      <c r="F40" s="59"/>
      <c r="G40" s="41" t="s">
        <v>112</v>
      </c>
      <c r="H40" s="87">
        <f>COUNTIFS($C$5:$C$35,"to",august,"Skema 1")</f>
        <v>4</v>
      </c>
      <c r="I40" s="236" t="s">
        <v>131</v>
      </c>
      <c r="J40" s="237"/>
      <c r="K40" s="237"/>
      <c r="L40" s="97">
        <f>COUNTIF(september,"Skema 4")</f>
        <v>0</v>
      </c>
      <c r="M40" s="59"/>
      <c r="N40" s="41" t="s">
        <v>112</v>
      </c>
      <c r="O40" s="87">
        <f>COUNTIFS($J$5:$J$34,"to",september,"Skema 1")</f>
        <v>4</v>
      </c>
      <c r="P40" s="236" t="s">
        <v>131</v>
      </c>
      <c r="Q40" s="237"/>
      <c r="R40" s="237"/>
      <c r="S40" s="97">
        <f>COUNTIF(oktober,"Skema 4")</f>
        <v>0</v>
      </c>
      <c r="T40" s="59"/>
      <c r="U40" s="41" t="s">
        <v>112</v>
      </c>
      <c r="V40" s="87">
        <f>COUNTIFS(Q5:Q35,"to",oktober,"Skema 1")</f>
        <v>4</v>
      </c>
      <c r="W40" s="236" t="s">
        <v>131</v>
      </c>
      <c r="X40" s="237"/>
      <c r="Y40" s="237"/>
      <c r="Z40" s="97">
        <f>COUNTIF(november,"Skema 4")</f>
        <v>0</v>
      </c>
      <c r="AA40" s="59"/>
      <c r="AB40" s="41" t="s">
        <v>112</v>
      </c>
      <c r="AC40" s="87">
        <f>COUNTIFS(X5:X34,"to",november,"Skema 1")</f>
        <v>4</v>
      </c>
      <c r="AD40" s="236" t="s">
        <v>131</v>
      </c>
      <c r="AE40" s="237"/>
      <c r="AF40" s="237"/>
      <c r="AG40" s="97">
        <f>COUNTIF(december,"Skema 4")</f>
        <v>0</v>
      </c>
      <c r="AH40" s="59"/>
      <c r="AI40" s="41" t="s">
        <v>112</v>
      </c>
      <c r="AJ40" s="87">
        <f>COUNTIFS(AE5:AE35,"to",december,"Skema 1")</f>
        <v>3</v>
      </c>
      <c r="AK40" s="236" t="s">
        <v>131</v>
      </c>
      <c r="AL40" s="237"/>
      <c r="AM40" s="237"/>
      <c r="AN40" s="97">
        <f>COUNTIF(januar,"Skema 4")</f>
        <v>0</v>
      </c>
      <c r="AO40" s="59"/>
      <c r="AP40" s="41" t="s">
        <v>112</v>
      </c>
      <c r="AQ40" s="87">
        <f>COUNTIFS(AL5:AL35,"to",januar,"Skema 1")</f>
        <v>4</v>
      </c>
      <c r="AR40" s="236" t="s">
        <v>131</v>
      </c>
      <c r="AS40" s="237"/>
      <c r="AT40" s="237"/>
      <c r="AU40" s="97">
        <f>COUNTIF(februar,"Skema 4")</f>
        <v>0</v>
      </c>
      <c r="AV40" s="59"/>
      <c r="AW40" s="41" t="s">
        <v>112</v>
      </c>
      <c r="AX40" s="87">
        <f>COUNTIFS(AS8:AS36,"to",februar,"Skema 1")</f>
        <v>2</v>
      </c>
      <c r="AY40" s="236" t="s">
        <v>131</v>
      </c>
      <c r="AZ40" s="237"/>
      <c r="BA40" s="237"/>
      <c r="BB40" s="97">
        <f>COUNTIF(marts,"Skema 4")</f>
        <v>0</v>
      </c>
      <c r="BC40" s="59"/>
      <c r="BD40" s="41" t="s">
        <v>112</v>
      </c>
      <c r="BE40" s="87">
        <f>COUNTIFS(AZ5:AZ35,"to",marts,"Skema 1")</f>
        <v>4</v>
      </c>
      <c r="BF40" s="236" t="s">
        <v>131</v>
      </c>
      <c r="BG40" s="237"/>
      <c r="BH40" s="237"/>
      <c r="BI40" s="97">
        <f>COUNTIF(april,"Skema 4")</f>
        <v>0</v>
      </c>
      <c r="BJ40" s="59"/>
      <c r="BK40" s="41" t="s">
        <v>112</v>
      </c>
      <c r="BL40" s="87">
        <f>COUNTIFS(BG5:BG34,"to",april,"Skema 1")</f>
        <v>3</v>
      </c>
      <c r="BM40" s="236" t="s">
        <v>131</v>
      </c>
      <c r="BN40" s="237"/>
      <c r="BO40" s="237"/>
      <c r="BP40" s="97">
        <f>COUNTIF(maj,"Skema 4")</f>
        <v>0</v>
      </c>
      <c r="BQ40" s="59"/>
      <c r="BR40" s="41" t="s">
        <v>112</v>
      </c>
      <c r="BS40" s="87">
        <f>COUNTIFS(BN5:BN35,"to",maj,"Skema 1")</f>
        <v>4</v>
      </c>
      <c r="BT40" s="236" t="s">
        <v>131</v>
      </c>
      <c r="BU40" s="237"/>
      <c r="BV40" s="237"/>
      <c r="BW40" s="97">
        <f>COUNTIF(juni,"Skema 4")</f>
        <v>0</v>
      </c>
      <c r="BX40" s="59"/>
      <c r="BY40" s="41" t="s">
        <v>112</v>
      </c>
      <c r="BZ40" s="87">
        <f>COUNTIFS(BU5:BU34,"to",juni,"Skema 1")</f>
        <v>2</v>
      </c>
      <c r="CA40" s="236" t="s">
        <v>131</v>
      </c>
      <c r="CB40" s="237"/>
      <c r="CC40" s="237"/>
      <c r="CD40" s="97">
        <f>COUNTIF(juli,"Skema 4")</f>
        <v>0</v>
      </c>
      <c r="CE40" s="59"/>
      <c r="CF40" s="41" t="s">
        <v>112</v>
      </c>
      <c r="CG40" s="87">
        <f>COUNTIFS(CB5:CB35,"to",juli,"Skema 1")</f>
        <v>0</v>
      </c>
      <c r="CI40" s="30" t="str">
        <f>CI39</f>
        <v>Skema 1</v>
      </c>
      <c r="CJ40" s="41" t="s">
        <v>27</v>
      </c>
      <c r="CK40" s="86">
        <f>CG40+BZ40+BS40+BL40+BE40+AX40+AQ40+AJ40+AC40+V40+O40+H40</f>
        <v>38</v>
      </c>
    </row>
    <row r="41" spans="1:90" ht="15" customHeight="1" x14ac:dyDescent="0.2">
      <c r="A41" s="53" t="s">
        <v>83</v>
      </c>
      <c r="B41" s="95" t="s">
        <v>65</v>
      </c>
      <c r="C41" s="96"/>
      <c r="D41" s="96"/>
      <c r="E41" s="97">
        <f>COUNTIF(august,"fagdag")+COUNTIF(august,"emnedag")</f>
        <v>0</v>
      </c>
      <c r="F41" s="59"/>
      <c r="G41" s="88" t="s">
        <v>111</v>
      </c>
      <c r="H41" s="89">
        <f>COUNTIFS($C$5:$C$35,"fr",august,"Skema 1")</f>
        <v>4</v>
      </c>
      <c r="I41" s="95" t="s">
        <v>65</v>
      </c>
      <c r="J41" s="96"/>
      <c r="K41" s="96"/>
      <c r="L41" s="97">
        <f>COUNTIF(september,"fagdag")+COUNTIF(september,"emnedag")</f>
        <v>0</v>
      </c>
      <c r="M41" s="59"/>
      <c r="N41" s="88" t="s">
        <v>111</v>
      </c>
      <c r="O41" s="87">
        <f>COUNTIFS($J$5:$J$34,"fr",september,"Skema 1")</f>
        <v>4</v>
      </c>
      <c r="P41" s="95" t="s">
        <v>65</v>
      </c>
      <c r="Q41" s="96"/>
      <c r="R41" s="96"/>
      <c r="S41" s="97">
        <f>COUNTIF(oktober,"fagdag")+COUNTIF(oktober,"emnedag")</f>
        <v>1</v>
      </c>
      <c r="T41" s="59"/>
      <c r="U41" s="88" t="s">
        <v>111</v>
      </c>
      <c r="V41" s="87">
        <f>COUNTIFS(Q5:Q35,"fr",oktober,"Skema 1")</f>
        <v>2</v>
      </c>
      <c r="W41" s="95" t="s">
        <v>65</v>
      </c>
      <c r="X41" s="96"/>
      <c r="Y41" s="96"/>
      <c r="Z41" s="97">
        <f>COUNTIF(november,"fagdag")+COUNTIF(november,"emnedag")</f>
        <v>0</v>
      </c>
      <c r="AA41" s="59"/>
      <c r="AB41" s="88" t="s">
        <v>111</v>
      </c>
      <c r="AC41" s="87">
        <f>COUNTIFS(X5:X34,"fr",november,"Skema 1")</f>
        <v>5</v>
      </c>
      <c r="AD41" s="95" t="s">
        <v>65</v>
      </c>
      <c r="AE41" s="96"/>
      <c r="AF41" s="96"/>
      <c r="AG41" s="97">
        <f>COUNTIF(december,"fagdag")+COUNTIF(december,"emnedag")</f>
        <v>0</v>
      </c>
      <c r="AH41" s="59"/>
      <c r="AI41" s="88" t="s">
        <v>111</v>
      </c>
      <c r="AJ41" s="87">
        <f>COUNTIFS(AE5:AE35,"fr",december,"Skema 1")</f>
        <v>3</v>
      </c>
      <c r="AK41" s="95" t="s">
        <v>65</v>
      </c>
      <c r="AL41" s="96"/>
      <c r="AM41" s="96"/>
      <c r="AN41" s="97">
        <f>COUNTIF(januar,"fagdag")+COUNTIF(januar,"emnedag")</f>
        <v>0</v>
      </c>
      <c r="AO41" s="59"/>
      <c r="AP41" s="88" t="s">
        <v>111</v>
      </c>
      <c r="AQ41" s="87">
        <f>COUNTIFS(AL5:AL35,"fr",januar,"Skema 1")</f>
        <v>4</v>
      </c>
      <c r="AR41" s="95" t="s">
        <v>65</v>
      </c>
      <c r="AS41" s="96"/>
      <c r="AT41" s="96"/>
      <c r="AU41" s="97">
        <f>COUNTIF(februar,"fagdag")+COUNTIF(februar,"emnedag")</f>
        <v>5</v>
      </c>
      <c r="AV41" s="59"/>
      <c r="AW41" s="88" t="s">
        <v>111</v>
      </c>
      <c r="AX41" s="87">
        <f>COUNTIFS(AS9:AS37,"fr",februar,"Skema 1")</f>
        <v>2</v>
      </c>
      <c r="AY41" s="95" t="s">
        <v>65</v>
      </c>
      <c r="AZ41" s="96"/>
      <c r="BA41" s="96"/>
      <c r="BB41" s="97">
        <f>COUNTIF(marts,"fagdag")+COUNTIF(marts,"emnedag")</f>
        <v>0</v>
      </c>
      <c r="BC41" s="59"/>
      <c r="BD41" s="88" t="s">
        <v>111</v>
      </c>
      <c r="BE41" s="87">
        <f>COUNTIFS(AZ5:AZ35,"fr",marts,"Skema 1")</f>
        <v>4</v>
      </c>
      <c r="BF41" s="95" t="s">
        <v>65</v>
      </c>
      <c r="BG41" s="96"/>
      <c r="BH41" s="96"/>
      <c r="BI41" s="97">
        <f>COUNTIF(april,"fagdag")+COUNTIF(april,"emnedag")</f>
        <v>0</v>
      </c>
      <c r="BJ41" s="59"/>
      <c r="BK41" s="88" t="s">
        <v>111</v>
      </c>
      <c r="BL41" s="87">
        <f>COUNTIFS(BG5:BG34,"fr",april,"Skema 1")</f>
        <v>3</v>
      </c>
      <c r="BM41" s="95" t="s">
        <v>65</v>
      </c>
      <c r="BN41" s="96"/>
      <c r="BO41" s="96"/>
      <c r="BP41" s="97">
        <f>COUNTIF(maj,"fagdag")+COUNTIF(maj,"emnedag")</f>
        <v>0</v>
      </c>
      <c r="BQ41" s="59"/>
      <c r="BR41" s="88" t="s">
        <v>111</v>
      </c>
      <c r="BS41" s="87">
        <f>COUNTIFS(BN5:BN35,"fr",maj,"Skema 1")</f>
        <v>4</v>
      </c>
      <c r="BT41" s="95" t="s">
        <v>65</v>
      </c>
      <c r="BU41" s="96"/>
      <c r="BV41" s="96"/>
      <c r="BW41" s="97">
        <f>COUNTIF(juni,"fagdag")+COUNTIF(juni,"emnedag")</f>
        <v>2</v>
      </c>
      <c r="BX41" s="59"/>
      <c r="BY41" s="88" t="s">
        <v>111</v>
      </c>
      <c r="BZ41" s="87">
        <f>COUNTIFS(BU5:BU34,"fr",juni,"Skema 1")</f>
        <v>2</v>
      </c>
      <c r="CA41" s="95" t="s">
        <v>65</v>
      </c>
      <c r="CB41" s="96"/>
      <c r="CC41" s="96"/>
      <c r="CD41" s="97">
        <f>COUNTIF(juli,"fagdag")+COUNTIF(juli,"emnedag")</f>
        <v>0</v>
      </c>
      <c r="CE41" s="59"/>
      <c r="CF41" s="88" t="s">
        <v>111</v>
      </c>
      <c r="CG41" s="87">
        <f>COUNTIFS(CB5:CB35,"fr",juli,"Skema 1")</f>
        <v>0</v>
      </c>
      <c r="CI41" s="30" t="str">
        <f>CI40</f>
        <v>Skema 1</v>
      </c>
      <c r="CJ41" s="85" t="s">
        <v>28</v>
      </c>
      <c r="CK41" s="86">
        <f>CG41+BZ41+BS41+BL41+BE41+AX41+AQ41+AJ41+AC41+V41+O41+H41</f>
        <v>37</v>
      </c>
    </row>
    <row r="42" spans="1:90" ht="15" customHeight="1" x14ac:dyDescent="0.2">
      <c r="A42" s="53" t="s">
        <v>133</v>
      </c>
      <c r="B42" s="39" t="s">
        <v>64</v>
      </c>
      <c r="C42" s="40"/>
      <c r="D42" s="40"/>
      <c r="E42" s="97">
        <f>COUNTIF(august,"lejrskole")+COUNTIF(august,"ekskursion")</f>
        <v>0</v>
      </c>
      <c r="F42" s="59"/>
      <c r="H42" s="90"/>
      <c r="I42" s="39" t="s">
        <v>64</v>
      </c>
      <c r="J42" s="40"/>
      <c r="K42" s="40"/>
      <c r="L42" s="97">
        <f>COUNTIF(september,"lejrskole")+COUNTIF(september,"ekskursion")</f>
        <v>0</v>
      </c>
      <c r="M42" s="59"/>
      <c r="O42" s="90"/>
      <c r="P42" s="39" t="s">
        <v>64</v>
      </c>
      <c r="Q42" s="40"/>
      <c r="R42" s="40"/>
      <c r="S42" s="97">
        <f>COUNTIF(oktober,"lejrskole")+COUNTIF(oktober,"ekskursion")</f>
        <v>0</v>
      </c>
      <c r="T42" s="59"/>
      <c r="V42" s="90"/>
      <c r="W42" s="39" t="s">
        <v>64</v>
      </c>
      <c r="X42" s="40"/>
      <c r="Y42" s="40"/>
      <c r="Z42" s="97">
        <f>COUNTIF(november,"lejrskole")+COUNTIF(november,"ekskursion")</f>
        <v>0</v>
      </c>
      <c r="AA42" s="59"/>
      <c r="AC42" s="90"/>
      <c r="AD42" s="39" t="s">
        <v>64</v>
      </c>
      <c r="AE42" s="40"/>
      <c r="AF42" s="40"/>
      <c r="AG42" s="97">
        <f>COUNTIF(december,"lejrskole")+COUNTIF(december,"ekskursion")</f>
        <v>0</v>
      </c>
      <c r="AH42" s="59"/>
      <c r="AJ42" s="90"/>
      <c r="AK42" s="39" t="s">
        <v>64</v>
      </c>
      <c r="AL42" s="40"/>
      <c r="AM42" s="40"/>
      <c r="AN42" s="97">
        <f>COUNTIF(januar,"lejrskole")+COUNTIF(januar,"ekskursion")</f>
        <v>0</v>
      </c>
      <c r="AO42" s="59"/>
      <c r="AQ42" s="90"/>
      <c r="AR42" s="39" t="s">
        <v>64</v>
      </c>
      <c r="AS42" s="40"/>
      <c r="AT42" s="40"/>
      <c r="AU42" s="97">
        <f>COUNTIF(februar,"lejrskole")+COUNTIF(februar,"ekskursion")</f>
        <v>0</v>
      </c>
      <c r="AV42" s="59"/>
      <c r="AX42" s="90"/>
      <c r="AY42" s="39" t="s">
        <v>64</v>
      </c>
      <c r="AZ42" s="40"/>
      <c r="BA42" s="40"/>
      <c r="BB42" s="97">
        <f>COUNTIF(marts,"lejrskole")+COUNTIF(marts,"ekskursion")</f>
        <v>0</v>
      </c>
      <c r="BC42" s="59"/>
      <c r="BE42" s="90"/>
      <c r="BF42" s="39" t="s">
        <v>64</v>
      </c>
      <c r="BG42" s="40"/>
      <c r="BH42" s="40"/>
      <c r="BI42" s="97">
        <f>COUNTIF(april,"lejrskole")+COUNTIF(april,"ekskursion")</f>
        <v>0</v>
      </c>
      <c r="BJ42" s="59"/>
      <c r="BL42" s="90"/>
      <c r="BM42" s="39" t="s">
        <v>64</v>
      </c>
      <c r="BN42" s="40"/>
      <c r="BO42" s="40"/>
      <c r="BP42" s="97">
        <f>COUNTIF(maj,"lejrskole")+COUNTIF(maj,"ekskursion")</f>
        <v>0</v>
      </c>
      <c r="BQ42" s="59"/>
      <c r="BS42" s="90"/>
      <c r="BT42" s="39" t="s">
        <v>64</v>
      </c>
      <c r="BU42" s="40"/>
      <c r="BV42" s="40"/>
      <c r="BW42" s="97">
        <f>COUNTIF(juni,"lejrskole")+COUNTIF(juni,"ekskursion")</f>
        <v>1</v>
      </c>
      <c r="BX42" s="59"/>
      <c r="BZ42" s="90"/>
      <c r="CA42" s="39" t="s">
        <v>64</v>
      </c>
      <c r="CB42" s="40"/>
      <c r="CC42" s="40"/>
      <c r="CD42" s="97">
        <f>COUNTIF(juli,"lejrskole")+COUNTIF(juli,"ekskursion")</f>
        <v>0</v>
      </c>
      <c r="CE42" s="59"/>
      <c r="CG42" s="90"/>
      <c r="CK42" s="86"/>
    </row>
    <row r="43" spans="1:90" ht="15" customHeight="1" x14ac:dyDescent="0.2">
      <c r="A43" s="53" t="s">
        <v>71</v>
      </c>
      <c r="B43" s="32" t="s">
        <v>63</v>
      </c>
      <c r="C43" s="33"/>
      <c r="D43" s="33"/>
      <c r="E43" s="97">
        <f>COUNTIF(august,"Pæd.dag")</f>
        <v>3</v>
      </c>
      <c r="F43" s="59"/>
      <c r="G43" s="85" t="s">
        <v>113</v>
      </c>
      <c r="H43" s="91">
        <f>COUNTIFS($C$5:$C$35,"ma",august,"Skema 2")</f>
        <v>0</v>
      </c>
      <c r="I43" s="32" t="s">
        <v>63</v>
      </c>
      <c r="J43" s="33"/>
      <c r="K43" s="33"/>
      <c r="L43" s="97">
        <f>COUNTIF(september,"Pæd.dag")</f>
        <v>0</v>
      </c>
      <c r="M43" s="59"/>
      <c r="N43" s="85" t="s">
        <v>113</v>
      </c>
      <c r="O43" s="87">
        <f>COUNTIFS($J$5:$J$34,"ma",september,"Skema 2")</f>
        <v>0</v>
      </c>
      <c r="P43" s="32" t="s">
        <v>63</v>
      </c>
      <c r="Q43" s="33"/>
      <c r="R43" s="33"/>
      <c r="S43" s="97">
        <f>COUNTIF(oktober,"Pæd.dag")</f>
        <v>0</v>
      </c>
      <c r="T43" s="59"/>
      <c r="U43" s="85" t="s">
        <v>113</v>
      </c>
      <c r="V43" s="87">
        <f>COUNTIFS(Q5:Q35,"ma",oktober,"Skema 2")</f>
        <v>0</v>
      </c>
      <c r="W43" s="32" t="s">
        <v>63</v>
      </c>
      <c r="X43" s="33"/>
      <c r="Y43" s="33"/>
      <c r="Z43" s="97">
        <f>COUNTIF(november,"Pæd.dag")</f>
        <v>0</v>
      </c>
      <c r="AA43" s="59"/>
      <c r="AB43" s="85" t="s">
        <v>113</v>
      </c>
      <c r="AC43" s="87">
        <f>COUNTIFS(X5:X34,"ma",november,"Skema 2")</f>
        <v>0</v>
      </c>
      <c r="AD43" s="32" t="s">
        <v>63</v>
      </c>
      <c r="AE43" s="33"/>
      <c r="AF43" s="33"/>
      <c r="AG43" s="97">
        <f>COUNTIF(december,"Pæd.dag")</f>
        <v>0</v>
      </c>
      <c r="AH43" s="59"/>
      <c r="AI43" s="85" t="s">
        <v>113</v>
      </c>
      <c r="AJ43" s="87">
        <f>COUNTIFS(AE5:AE35,"ma",december,"Skema 2")</f>
        <v>0</v>
      </c>
      <c r="AK43" s="32" t="s">
        <v>63</v>
      </c>
      <c r="AL43" s="33"/>
      <c r="AM43" s="33"/>
      <c r="AN43" s="97">
        <f>COUNTIF(januar,"Pæd.dag")</f>
        <v>0</v>
      </c>
      <c r="AO43" s="59"/>
      <c r="AP43" s="85" t="s">
        <v>113</v>
      </c>
      <c r="AQ43" s="87">
        <f>COUNTIFS(AL5:AL35,"ma",januar,"Skema 2")</f>
        <v>0</v>
      </c>
      <c r="AR43" s="32" t="s">
        <v>63</v>
      </c>
      <c r="AS43" s="33"/>
      <c r="AT43" s="33"/>
      <c r="AU43" s="97">
        <f>COUNTIF(februar,"Pæd.dag")</f>
        <v>0</v>
      </c>
      <c r="AV43" s="59"/>
      <c r="AW43" s="85" t="s">
        <v>113</v>
      </c>
      <c r="AX43" s="87">
        <f>COUNTIFS(AS5:AS33,"ma",februar,"Skema 2")</f>
        <v>0</v>
      </c>
      <c r="AY43" s="32" t="s">
        <v>63</v>
      </c>
      <c r="AZ43" s="33"/>
      <c r="BA43" s="33"/>
      <c r="BB43" s="97">
        <f>COUNTIF(marts,"Pæd.dag")</f>
        <v>0</v>
      </c>
      <c r="BC43" s="59"/>
      <c r="BD43" s="85" t="s">
        <v>113</v>
      </c>
      <c r="BE43" s="87">
        <f>COUNTIFS(AZ5:AZ35,"ma",marts,"Skema 2")</f>
        <v>0</v>
      </c>
      <c r="BF43" s="32" t="s">
        <v>63</v>
      </c>
      <c r="BG43" s="33"/>
      <c r="BH43" s="33"/>
      <c r="BI43" s="97">
        <f>COUNTIF(april,"Pæd.dag")</f>
        <v>0</v>
      </c>
      <c r="BJ43" s="59"/>
      <c r="BK43" s="85" t="s">
        <v>113</v>
      </c>
      <c r="BL43" s="87">
        <f>COUNTIFS(BG5:BG34,"ma",april,"Skema 2")</f>
        <v>0</v>
      </c>
      <c r="BM43" s="32" t="s">
        <v>63</v>
      </c>
      <c r="BN43" s="33"/>
      <c r="BO43" s="33"/>
      <c r="BP43" s="97">
        <f>COUNTIF(maj,"Pæd.dag")</f>
        <v>0</v>
      </c>
      <c r="BQ43" s="59"/>
      <c r="BR43" s="85" t="s">
        <v>113</v>
      </c>
      <c r="BS43" s="87">
        <f>COUNTIFS(BN5:BN35,"ma",maj,"Skema 2")</f>
        <v>0</v>
      </c>
      <c r="BT43" s="32" t="s">
        <v>63</v>
      </c>
      <c r="BU43" s="33"/>
      <c r="BV43" s="33"/>
      <c r="BW43" s="97">
        <f>COUNTIF(juni,"Pæd.dag")</f>
        <v>1</v>
      </c>
      <c r="BX43" s="59"/>
      <c r="BY43" s="85" t="s">
        <v>113</v>
      </c>
      <c r="BZ43" s="87">
        <f>COUNTIFS(BU5:BU34,"ma",juni,"Skema 2")</f>
        <v>0</v>
      </c>
      <c r="CA43" s="32" t="s">
        <v>63</v>
      </c>
      <c r="CB43" s="33"/>
      <c r="CC43" s="33"/>
      <c r="CD43" s="97">
        <f>COUNTIF(juli,"Pæd.dag")</f>
        <v>4</v>
      </c>
      <c r="CE43" s="59"/>
      <c r="CF43" s="85" t="s">
        <v>113</v>
      </c>
      <c r="CG43" s="87">
        <f>COUNTIFS(CB5:CB35,"ma",juli,"Skema 2")</f>
        <v>0</v>
      </c>
      <c r="CI43" s="30" t="s">
        <v>129</v>
      </c>
      <c r="CJ43" s="85" t="s">
        <v>24</v>
      </c>
      <c r="CK43" s="86">
        <f>CG43+BZ43+BS43+BL43+BE43+AX43+AQ43+AJ43+AC43+V43+O43+H43</f>
        <v>0</v>
      </c>
    </row>
    <row r="44" spans="1:90" ht="15" customHeight="1" x14ac:dyDescent="0.2">
      <c r="A44" s="53" t="s">
        <v>70</v>
      </c>
      <c r="B44" s="32" t="s">
        <v>77</v>
      </c>
      <c r="C44" s="33"/>
      <c r="D44" s="33"/>
      <c r="E44" s="97">
        <f>COUNTIF(august,"weekend")</f>
        <v>9</v>
      </c>
      <c r="F44" s="59"/>
      <c r="G44" s="41" t="s">
        <v>114</v>
      </c>
      <c r="H44" s="92">
        <f>COUNTIFS($C$5:$C$35,"ti",august,"Skema 2")</f>
        <v>0</v>
      </c>
      <c r="I44" s="32" t="s">
        <v>77</v>
      </c>
      <c r="J44" s="33"/>
      <c r="K44" s="33"/>
      <c r="L44" s="97">
        <f>COUNTIF(september,"weekend")</f>
        <v>9</v>
      </c>
      <c r="M44" s="59"/>
      <c r="N44" s="41" t="s">
        <v>114</v>
      </c>
      <c r="O44" s="87">
        <f>COUNTIFS($J$5:$J$34,"ti",september,"Skema 2")</f>
        <v>0</v>
      </c>
      <c r="P44" s="32" t="s">
        <v>77</v>
      </c>
      <c r="Q44" s="33"/>
      <c r="R44" s="33"/>
      <c r="S44" s="97">
        <f>COUNTIF(oktober,"weekend")</f>
        <v>8</v>
      </c>
      <c r="T44" s="59"/>
      <c r="U44" s="41" t="s">
        <v>114</v>
      </c>
      <c r="V44" s="87">
        <f>COUNTIFS(Q5:Q35,"ti",oktober,"Skema 2")</f>
        <v>0</v>
      </c>
      <c r="W44" s="32" t="s">
        <v>77</v>
      </c>
      <c r="X44" s="33"/>
      <c r="Y44" s="33"/>
      <c r="Z44" s="97">
        <f>COUNTIF(november,"weekend")</f>
        <v>9</v>
      </c>
      <c r="AA44" s="59"/>
      <c r="AB44" s="41" t="s">
        <v>114</v>
      </c>
      <c r="AC44" s="87">
        <f>COUNTIFS(X5:X34,"ti",november,"Skema 2")</f>
        <v>0</v>
      </c>
      <c r="AD44" s="32" t="s">
        <v>77</v>
      </c>
      <c r="AE44" s="33"/>
      <c r="AF44" s="33"/>
      <c r="AG44" s="97">
        <f>COUNTIF(december,"weekend")</f>
        <v>9</v>
      </c>
      <c r="AH44" s="59"/>
      <c r="AI44" s="41" t="s">
        <v>114</v>
      </c>
      <c r="AJ44" s="87">
        <f>COUNTIFS(AE5:AE35,"ti",december,"Skema 2")</f>
        <v>0</v>
      </c>
      <c r="AK44" s="32" t="s">
        <v>77</v>
      </c>
      <c r="AL44" s="33"/>
      <c r="AM44" s="33"/>
      <c r="AN44" s="97">
        <f>COUNTIF(januar,"weekend")</f>
        <v>8</v>
      </c>
      <c r="AO44" s="59"/>
      <c r="AP44" s="41" t="s">
        <v>114</v>
      </c>
      <c r="AQ44" s="87">
        <f>COUNTIFS(AL5:AL35,"ti",januar,"Skema 2")</f>
        <v>0</v>
      </c>
      <c r="AR44" s="32" t="s">
        <v>77</v>
      </c>
      <c r="AS44" s="33"/>
      <c r="AT44" s="33"/>
      <c r="AU44" s="97">
        <f>COUNTIF(februar,"weekend")</f>
        <v>8</v>
      </c>
      <c r="AV44" s="59"/>
      <c r="AW44" s="41" t="s">
        <v>114</v>
      </c>
      <c r="AX44" s="87">
        <f>COUNTIFS(AS5:AS33,"ti",februar,"Skema 2")</f>
        <v>0</v>
      </c>
      <c r="AY44" s="32" t="s">
        <v>77</v>
      </c>
      <c r="AZ44" s="33"/>
      <c r="BA44" s="33"/>
      <c r="BB44" s="97">
        <f>COUNTIF(marts,"weekend")</f>
        <v>10</v>
      </c>
      <c r="BC44" s="59"/>
      <c r="BD44" s="41" t="s">
        <v>114</v>
      </c>
      <c r="BE44" s="87">
        <f>COUNTIFS(AZ5:AZ35,"ti",marts,"Skema 2")</f>
        <v>0</v>
      </c>
      <c r="BF44" s="32" t="s">
        <v>77</v>
      </c>
      <c r="BG44" s="33"/>
      <c r="BH44" s="33"/>
      <c r="BI44" s="97">
        <f>COUNTIF(april,"weekend")</f>
        <v>8</v>
      </c>
      <c r="BJ44" s="59"/>
      <c r="BK44" s="41" t="s">
        <v>114</v>
      </c>
      <c r="BL44" s="87">
        <f>COUNTIFS(BG5:BG34,"ti",april,"Skema 2")</f>
        <v>0</v>
      </c>
      <c r="BM44" s="32" t="s">
        <v>77</v>
      </c>
      <c r="BN44" s="33"/>
      <c r="BO44" s="33"/>
      <c r="BP44" s="97">
        <f>COUNTIF(maj,"weekend")</f>
        <v>9</v>
      </c>
      <c r="BQ44" s="59"/>
      <c r="BR44" s="41" t="s">
        <v>114</v>
      </c>
      <c r="BS44" s="87">
        <f>COUNTIFS(BN5:BN35,"ti",maj,"Skema 2")</f>
        <v>0</v>
      </c>
      <c r="BT44" s="32" t="s">
        <v>77</v>
      </c>
      <c r="BU44" s="33"/>
      <c r="BV44" s="33"/>
      <c r="BW44" s="97">
        <f>COUNTIF(juni,"weekend")</f>
        <v>9</v>
      </c>
      <c r="BX44" s="59"/>
      <c r="BY44" s="41" t="s">
        <v>114</v>
      </c>
      <c r="BZ44" s="87">
        <f>COUNTIFS(BU5:BU34,"ti",juni,"Skema 2")</f>
        <v>0</v>
      </c>
      <c r="CA44" s="32" t="s">
        <v>77</v>
      </c>
      <c r="CB44" s="33"/>
      <c r="CC44" s="33"/>
      <c r="CD44" s="97">
        <f>COUNTIF(juli,"weekend")</f>
        <v>8</v>
      </c>
      <c r="CE44" s="59"/>
      <c r="CF44" s="41" t="s">
        <v>114</v>
      </c>
      <c r="CG44" s="87">
        <f>COUNTIFS(CB5:CB35,"ti",juli,"Skema 2")</f>
        <v>0</v>
      </c>
      <c r="CH44" s="76"/>
      <c r="CI44" s="76" t="str">
        <f>CI43</f>
        <v>Skema 2</v>
      </c>
      <c r="CJ44" s="41" t="s">
        <v>25</v>
      </c>
      <c r="CK44" s="86">
        <f>CG44+BZ44+BS44+BL44+BE44+AX44+AQ44+AJ44+AC44+V44+O44+H44</f>
        <v>0</v>
      </c>
    </row>
    <row r="45" spans="1:90" ht="15" customHeight="1" x14ac:dyDescent="0.2">
      <c r="A45" s="146" t="s">
        <v>68</v>
      </c>
      <c r="B45" s="32" t="s">
        <v>79</v>
      </c>
      <c r="C45" s="33"/>
      <c r="D45" s="33"/>
      <c r="E45" s="97">
        <f>COUNTIF(august,"SH-dag")</f>
        <v>0</v>
      </c>
      <c r="F45" s="59"/>
      <c r="G45" s="41" t="s">
        <v>115</v>
      </c>
      <c r="H45" s="92">
        <f>COUNTIFS($C$5:$C$35,"on",august,"Skema 2")</f>
        <v>0</v>
      </c>
      <c r="I45" s="32" t="s">
        <v>79</v>
      </c>
      <c r="J45" s="33"/>
      <c r="K45" s="33"/>
      <c r="L45" s="97">
        <f>COUNTIF(september,"SH-dag")</f>
        <v>0</v>
      </c>
      <c r="M45" s="59"/>
      <c r="N45" s="41" t="s">
        <v>115</v>
      </c>
      <c r="O45" s="87">
        <f>COUNTIFS($J$5:$J$34,"on",september,"Skema 2")</f>
        <v>0</v>
      </c>
      <c r="P45" s="32" t="s">
        <v>79</v>
      </c>
      <c r="Q45" s="33"/>
      <c r="R45" s="33"/>
      <c r="S45" s="97">
        <f>COUNTIF(oktober,"SH-dag")</f>
        <v>0</v>
      </c>
      <c r="T45" s="59"/>
      <c r="U45" s="41" t="s">
        <v>115</v>
      </c>
      <c r="V45" s="87">
        <f>COUNTIFS(Q5:Q35,"on",oktober,"Skema 2")</f>
        <v>0</v>
      </c>
      <c r="W45" s="32" t="s">
        <v>79</v>
      </c>
      <c r="X45" s="33"/>
      <c r="Y45" s="33"/>
      <c r="Z45" s="97">
        <f>COUNTIF(november,"SH-dag")</f>
        <v>0</v>
      </c>
      <c r="AA45" s="59"/>
      <c r="AB45" s="41" t="s">
        <v>115</v>
      </c>
      <c r="AC45" s="87">
        <f>COUNTIFS(X5:X34,"on",november,"Skema 2")</f>
        <v>0</v>
      </c>
      <c r="AD45" s="32" t="s">
        <v>79</v>
      </c>
      <c r="AE45" s="33"/>
      <c r="AF45" s="33"/>
      <c r="AG45" s="97">
        <f>COUNTIF(december,"SH-dag")</f>
        <v>2</v>
      </c>
      <c r="AH45" s="59"/>
      <c r="AI45" s="41" t="s">
        <v>115</v>
      </c>
      <c r="AJ45" s="87">
        <f>COUNTIFS(AE5:AE35,"on",december,"Skema 2")</f>
        <v>0</v>
      </c>
      <c r="AK45" s="32" t="s">
        <v>79</v>
      </c>
      <c r="AL45" s="33"/>
      <c r="AM45" s="33"/>
      <c r="AN45" s="97">
        <f>COUNTIF(januar,"SH-dag")</f>
        <v>1</v>
      </c>
      <c r="AO45" s="59"/>
      <c r="AP45" s="41" t="s">
        <v>115</v>
      </c>
      <c r="AQ45" s="87">
        <f>COUNTIFS(AL5:AL35,"on",januar,"Skema 2")</f>
        <v>0</v>
      </c>
      <c r="AR45" s="32" t="s">
        <v>79</v>
      </c>
      <c r="AS45" s="33"/>
      <c r="AT45" s="33"/>
      <c r="AU45" s="97">
        <f>COUNTIF(februar,"SH-dag")</f>
        <v>0</v>
      </c>
      <c r="AV45" s="59"/>
      <c r="AW45" s="41" t="s">
        <v>115</v>
      </c>
      <c r="AX45" s="87">
        <f>COUNTIFS(AS5:AS33,"on",februar,"Skema 2")</f>
        <v>0</v>
      </c>
      <c r="AY45" s="32" t="s">
        <v>79</v>
      </c>
      <c r="AZ45" s="33"/>
      <c r="BA45" s="33"/>
      <c r="BB45" s="97">
        <f>COUNTIF(marts,"SH-dag")</f>
        <v>0</v>
      </c>
      <c r="BC45" s="59"/>
      <c r="BD45" s="41" t="s">
        <v>115</v>
      </c>
      <c r="BE45" s="87">
        <f>COUNTIFS(AZ5:AZ35,"on",marts,"Skema 2")</f>
        <v>0</v>
      </c>
      <c r="BF45" s="32" t="s">
        <v>79</v>
      </c>
      <c r="BG45" s="33"/>
      <c r="BH45" s="33"/>
      <c r="BI45" s="97">
        <f>COUNTIF(april,"SH-dag")</f>
        <v>3</v>
      </c>
      <c r="BJ45" s="59"/>
      <c r="BK45" s="41" t="s">
        <v>115</v>
      </c>
      <c r="BL45" s="87">
        <f>COUNTIFS(BG5:BG34,"on",april,"Skema 2")</f>
        <v>0</v>
      </c>
      <c r="BM45" s="32" t="s">
        <v>79</v>
      </c>
      <c r="BN45" s="33"/>
      <c r="BO45" s="33"/>
      <c r="BP45" s="97">
        <f>COUNTIF(maj,"SH-dag")</f>
        <v>1</v>
      </c>
      <c r="BQ45" s="59"/>
      <c r="BR45" s="41" t="s">
        <v>115</v>
      </c>
      <c r="BS45" s="87">
        <f>COUNTIFS(BN5:BN35,"on",maj,"Skema 2")</f>
        <v>0</v>
      </c>
      <c r="BT45" s="32" t="s">
        <v>79</v>
      </c>
      <c r="BU45" s="33"/>
      <c r="BV45" s="33"/>
      <c r="BW45" s="97">
        <f>COUNTIF(juni,"SH-dag")</f>
        <v>1</v>
      </c>
      <c r="BX45" s="59"/>
      <c r="BY45" s="41" t="s">
        <v>115</v>
      </c>
      <c r="BZ45" s="87">
        <f>COUNTIFS(BU5:BU34,"on",juni,"Skema 2")</f>
        <v>0</v>
      </c>
      <c r="CA45" s="32" t="s">
        <v>79</v>
      </c>
      <c r="CB45" s="33"/>
      <c r="CC45" s="33"/>
      <c r="CD45" s="97">
        <f>COUNTIF(juli,"SH-dag")</f>
        <v>0</v>
      </c>
      <c r="CE45" s="59"/>
      <c r="CF45" s="41" t="s">
        <v>115</v>
      </c>
      <c r="CG45" s="87">
        <f>COUNTIFS(CB5:CB35,"on",juli,"Skema 2")</f>
        <v>0</v>
      </c>
      <c r="CI45" s="76" t="str">
        <f>CI44</f>
        <v>Skema 2</v>
      </c>
      <c r="CJ45" s="85" t="s">
        <v>26</v>
      </c>
      <c r="CK45" s="86">
        <f>CG45+BZ45+BS45+BL45+BE45+AX45+AQ45+AJ45+AC45+V45+O45+H45</f>
        <v>0</v>
      </c>
    </row>
    <row r="46" spans="1:90" ht="15" customHeight="1" x14ac:dyDescent="0.2">
      <c r="A46" s="53" t="s">
        <v>77</v>
      </c>
      <c r="B46" s="32" t="s">
        <v>62</v>
      </c>
      <c r="C46" s="33"/>
      <c r="D46" s="33"/>
      <c r="E46" s="97">
        <f>COUNTIF(august,"feriedag")</f>
        <v>1</v>
      </c>
      <c r="F46" s="59"/>
      <c r="G46" s="41" t="s">
        <v>116</v>
      </c>
      <c r="H46" s="92">
        <f>COUNTIFS($C$5:$C$35,"to",august,"Skema 2")</f>
        <v>0</v>
      </c>
      <c r="I46" s="32" t="s">
        <v>62</v>
      </c>
      <c r="J46" s="33"/>
      <c r="K46" s="33"/>
      <c r="L46" s="97">
        <f>COUNTIF(september,"feriedag")</f>
        <v>0</v>
      </c>
      <c r="M46" s="59"/>
      <c r="N46" s="41" t="s">
        <v>116</v>
      </c>
      <c r="O46" s="87">
        <f>COUNTIFS($J$5:$J$34,"to",september,"Skema 2")</f>
        <v>0</v>
      </c>
      <c r="P46" s="32" t="s">
        <v>62</v>
      </c>
      <c r="Q46" s="33"/>
      <c r="R46" s="33"/>
      <c r="S46" s="97">
        <f>COUNTIF(oktober,"feriedag")</f>
        <v>5</v>
      </c>
      <c r="T46" s="59"/>
      <c r="U46" s="41" t="s">
        <v>116</v>
      </c>
      <c r="V46" s="87">
        <f>COUNTIFS(Q5:Q35,"to",oktober,"Skema 2")</f>
        <v>0</v>
      </c>
      <c r="W46" s="32" t="s">
        <v>62</v>
      </c>
      <c r="X46" s="33"/>
      <c r="Y46" s="33"/>
      <c r="Z46" s="97">
        <f>COUNTIF(november,"feriedag")</f>
        <v>0</v>
      </c>
      <c r="AA46" s="59"/>
      <c r="AB46" s="41" t="s">
        <v>116</v>
      </c>
      <c r="AC46" s="87">
        <f>COUNTIFS(X5:X34,"to",november,"Skema 2")</f>
        <v>0</v>
      </c>
      <c r="AD46" s="32" t="s">
        <v>62</v>
      </c>
      <c r="AE46" s="33"/>
      <c r="AF46" s="33"/>
      <c r="AG46" s="97">
        <f>COUNTIF(december,"feriedag")</f>
        <v>0</v>
      </c>
      <c r="AH46" s="59"/>
      <c r="AI46" s="41" t="s">
        <v>116</v>
      </c>
      <c r="AJ46" s="87">
        <f>COUNTIFS(AE5:AE35,"to",december,"Skema 2")</f>
        <v>0</v>
      </c>
      <c r="AK46" s="32" t="s">
        <v>62</v>
      </c>
      <c r="AL46" s="33"/>
      <c r="AM46" s="33"/>
      <c r="AN46" s="97">
        <f>COUNTIF(januar,"feriedag")</f>
        <v>0</v>
      </c>
      <c r="AO46" s="59"/>
      <c r="AP46" s="41" t="s">
        <v>116</v>
      </c>
      <c r="AQ46" s="87">
        <f>COUNTIFS(AL5:AL35,"to",januar,"Skema 2")</f>
        <v>0</v>
      </c>
      <c r="AR46" s="32" t="s">
        <v>62</v>
      </c>
      <c r="AS46" s="33"/>
      <c r="AT46" s="33"/>
      <c r="AU46" s="97">
        <f>COUNTIF(februar,"feriedag")</f>
        <v>0</v>
      </c>
      <c r="AV46" s="59"/>
      <c r="AW46" s="41" t="s">
        <v>116</v>
      </c>
      <c r="AX46" s="87">
        <f>COUNTIFS(AS5:AS33,"to",februar,"Skema 2")</f>
        <v>0</v>
      </c>
      <c r="AY46" s="32" t="s">
        <v>62</v>
      </c>
      <c r="AZ46" s="33"/>
      <c r="BA46" s="33"/>
      <c r="BB46" s="97">
        <f>COUNTIF(marts,"feriedag")</f>
        <v>0</v>
      </c>
      <c r="BC46" s="59"/>
      <c r="BD46" s="41" t="s">
        <v>116</v>
      </c>
      <c r="BE46" s="87">
        <f>COUNTIFS(AZ5:AZ35,"to",marts,"Skema 2")</f>
        <v>0</v>
      </c>
      <c r="BF46" s="32" t="s">
        <v>62</v>
      </c>
      <c r="BG46" s="33"/>
      <c r="BH46" s="33"/>
      <c r="BI46" s="97">
        <f>COUNTIF(april,"feriedag")</f>
        <v>0</v>
      </c>
      <c r="BJ46" s="59"/>
      <c r="BK46" s="41" t="s">
        <v>116</v>
      </c>
      <c r="BL46" s="87">
        <f>COUNTIFS(BG5:BG34,"to",april,"Skema 2")</f>
        <v>0</v>
      </c>
      <c r="BM46" s="32" t="s">
        <v>62</v>
      </c>
      <c r="BN46" s="33"/>
      <c r="BO46" s="33"/>
      <c r="BP46" s="97">
        <f>COUNTIF(maj,"feriedag")</f>
        <v>0</v>
      </c>
      <c r="BQ46" s="59"/>
      <c r="BR46" s="41" t="s">
        <v>116</v>
      </c>
      <c r="BS46" s="87">
        <f>COUNTIFS(BN5:BN35,"to",maj,"Skema 2")</f>
        <v>0</v>
      </c>
      <c r="BT46" s="32" t="s">
        <v>62</v>
      </c>
      <c r="BU46" s="33"/>
      <c r="BV46" s="33"/>
      <c r="BW46" s="97">
        <f>COUNTIF(juni,"feriedag")</f>
        <v>0</v>
      </c>
      <c r="BX46" s="59"/>
      <c r="BY46" s="41" t="s">
        <v>116</v>
      </c>
      <c r="BZ46" s="87">
        <f>COUNTIFS(BU5:BU34,"to",juni,"Skema 2")</f>
        <v>0</v>
      </c>
      <c r="CA46" s="32" t="s">
        <v>62</v>
      </c>
      <c r="CB46" s="33"/>
      <c r="CC46" s="33"/>
      <c r="CD46" s="97">
        <f>COUNTIF(juli,"feriedag")</f>
        <v>19</v>
      </c>
      <c r="CE46" s="59"/>
      <c r="CF46" s="41" t="s">
        <v>116</v>
      </c>
      <c r="CG46" s="87">
        <f>COUNTIFS(CB5:CB35,"to",juli,"Skema 2")</f>
        <v>0</v>
      </c>
      <c r="CH46" s="36"/>
      <c r="CI46" s="76" t="str">
        <f>CI45</f>
        <v>Skema 2</v>
      </c>
      <c r="CJ46" s="41" t="s">
        <v>27</v>
      </c>
      <c r="CK46" s="86">
        <f>CG46+BZ46+BS46+BL46+BE46+AX46+AQ46+AJ46+AC46+V46+O46+H46</f>
        <v>0</v>
      </c>
    </row>
    <row r="47" spans="1:90" ht="15" customHeight="1" x14ac:dyDescent="0.2">
      <c r="A47" s="53" t="s">
        <v>76</v>
      </c>
      <c r="B47" s="41" t="s">
        <v>107</v>
      </c>
      <c r="C47" s="40"/>
      <c r="D47" s="40"/>
      <c r="E47" s="97">
        <f>COUNTIF(august,"Nul-dag")</f>
        <v>1</v>
      </c>
      <c r="F47" s="59"/>
      <c r="G47" s="88" t="s">
        <v>117</v>
      </c>
      <c r="H47" s="93">
        <f>COUNTIFS($C$5:$C$35,"fr",august,"Skema 2")</f>
        <v>0</v>
      </c>
      <c r="I47" s="41" t="s">
        <v>107</v>
      </c>
      <c r="J47" s="40"/>
      <c r="K47" s="40"/>
      <c r="L47" s="97">
        <f>COUNTIF(september,"Nul-dag")</f>
        <v>0</v>
      </c>
      <c r="M47" s="59"/>
      <c r="N47" s="88" t="s">
        <v>117</v>
      </c>
      <c r="O47" s="87">
        <f>COUNTIFS($J$5:$J$34,"fr",september,"Skema 2")</f>
        <v>0</v>
      </c>
      <c r="P47" s="41" t="s">
        <v>107</v>
      </c>
      <c r="Q47" s="40"/>
      <c r="R47" s="40"/>
      <c r="S47" s="97">
        <f>COUNTIF(oktober,"Nul-dag")</f>
        <v>0</v>
      </c>
      <c r="T47" s="59"/>
      <c r="U47" s="88" t="s">
        <v>117</v>
      </c>
      <c r="V47" s="87">
        <f>COUNTIFS(Q5:Q35,"fr",oktober,"Skema 2")</f>
        <v>0</v>
      </c>
      <c r="W47" s="41" t="s">
        <v>107</v>
      </c>
      <c r="X47" s="40"/>
      <c r="Y47" s="40"/>
      <c r="Z47" s="97">
        <f>COUNTIF(november,"Nul-dag")</f>
        <v>0</v>
      </c>
      <c r="AA47" s="59"/>
      <c r="AB47" s="88" t="s">
        <v>117</v>
      </c>
      <c r="AC47" s="87">
        <f>COUNTIFS(X5:X34,"fr",november,"Skema 2")</f>
        <v>0</v>
      </c>
      <c r="AD47" s="41" t="s">
        <v>107</v>
      </c>
      <c r="AE47" s="40"/>
      <c r="AF47" s="40"/>
      <c r="AG47" s="97">
        <f>COUNTIF(december,"Nul-dag")</f>
        <v>5</v>
      </c>
      <c r="AH47" s="59"/>
      <c r="AI47" s="88" t="s">
        <v>117</v>
      </c>
      <c r="AJ47" s="87">
        <f>COUNTIFS(AE5:AE35,"fr",december,"Skema 2")</f>
        <v>0</v>
      </c>
      <c r="AK47" s="41" t="s">
        <v>107</v>
      </c>
      <c r="AL47" s="40"/>
      <c r="AM47" s="40"/>
      <c r="AN47" s="97">
        <f>COUNTIF(januar,"Nul-dag")</f>
        <v>2</v>
      </c>
      <c r="AO47" s="59"/>
      <c r="AP47" s="88" t="s">
        <v>117</v>
      </c>
      <c r="AQ47" s="87">
        <f>COUNTIFS(AL5:AL35,"fr",januar,"Skema 2")</f>
        <v>0</v>
      </c>
      <c r="AR47" s="41" t="s">
        <v>107</v>
      </c>
      <c r="AS47" s="40"/>
      <c r="AT47" s="40"/>
      <c r="AU47" s="97">
        <f>COUNTIF(februar,"Nul-dag")</f>
        <v>5</v>
      </c>
      <c r="AV47" s="59"/>
      <c r="AW47" s="88" t="s">
        <v>117</v>
      </c>
      <c r="AX47" s="87">
        <f>COUNTIFS(AS5:AS33,"fr",februar,"Skema 2")</f>
        <v>0</v>
      </c>
      <c r="AY47" s="41" t="s">
        <v>107</v>
      </c>
      <c r="AZ47" s="40"/>
      <c r="BA47" s="40"/>
      <c r="BB47" s="97">
        <f>COUNTIF(marts,"Nul-dag")</f>
        <v>1</v>
      </c>
      <c r="BC47" s="59"/>
      <c r="BD47" s="88" t="s">
        <v>117</v>
      </c>
      <c r="BE47" s="87">
        <f>COUNTIFS(AZ5:AZ35,"fr",marts,"Skema 2")</f>
        <v>0</v>
      </c>
      <c r="BF47" s="41" t="s">
        <v>107</v>
      </c>
      <c r="BG47" s="40"/>
      <c r="BH47" s="40"/>
      <c r="BI47" s="97">
        <f>COUNTIF(april,"Nul-dag")</f>
        <v>3</v>
      </c>
      <c r="BJ47" s="59"/>
      <c r="BK47" s="88" t="s">
        <v>117</v>
      </c>
      <c r="BL47" s="87">
        <f>COUNTIFS(BG5:BG34,"fr",april,"Skema 2")</f>
        <v>0</v>
      </c>
      <c r="BM47" s="41" t="s">
        <v>107</v>
      </c>
      <c r="BN47" s="40"/>
      <c r="BO47" s="40"/>
      <c r="BP47" s="97">
        <f>COUNTIF(maj,"Nul-dag")</f>
        <v>1</v>
      </c>
      <c r="BQ47" s="59"/>
      <c r="BR47" s="88" t="s">
        <v>117</v>
      </c>
      <c r="BS47" s="87">
        <f>COUNTIFS(BN5:BN35,"fr",maj,"Skema 2")</f>
        <v>0</v>
      </c>
      <c r="BT47" s="41" t="s">
        <v>107</v>
      </c>
      <c r="BU47" s="40"/>
      <c r="BV47" s="40"/>
      <c r="BW47" s="97">
        <f>COUNTIF(juni,"Nul-dag")</f>
        <v>2</v>
      </c>
      <c r="BX47" s="59"/>
      <c r="BY47" s="88" t="s">
        <v>117</v>
      </c>
      <c r="BZ47" s="87">
        <f>COUNTIFS(BU5:BU34,"fr",juni,"Skema 2")</f>
        <v>0</v>
      </c>
      <c r="CA47" s="41" t="s">
        <v>107</v>
      </c>
      <c r="CB47" s="40"/>
      <c r="CC47" s="40"/>
      <c r="CD47" s="97">
        <f>COUNTIF(juli,"Nul-dag")</f>
        <v>0</v>
      </c>
      <c r="CE47" s="59"/>
      <c r="CF47" s="88" t="s">
        <v>117</v>
      </c>
      <c r="CG47" s="87">
        <f>COUNTIFS(CB5:CB35,"fr",juli,"Skema 2")</f>
        <v>0</v>
      </c>
      <c r="CH47" s="35"/>
      <c r="CI47" s="76" t="str">
        <f>CI46</f>
        <v>Skema 2</v>
      </c>
      <c r="CJ47" s="85" t="s">
        <v>28</v>
      </c>
      <c r="CK47" s="86">
        <f>CG47+BZ47+BS47+BL47+BE47+AX47+AQ47+AJ47+AC47+V47+O47+H47</f>
        <v>0</v>
      </c>
    </row>
    <row r="48" spans="1:90" ht="15" customHeight="1" x14ac:dyDescent="0.2">
      <c r="A48" s="52" t="s">
        <v>132</v>
      </c>
      <c r="B48" s="79" t="s">
        <v>98</v>
      </c>
      <c r="E48" s="97">
        <f>COUNTIF(august,"Ikke relevant")</f>
        <v>0</v>
      </c>
      <c r="F48" s="59"/>
      <c r="G48" s="94"/>
      <c r="H48" s="94"/>
      <c r="I48" s="79" t="s">
        <v>98</v>
      </c>
      <c r="L48" s="97">
        <f>COUNTIF(september,"Ikke relevant")</f>
        <v>0</v>
      </c>
      <c r="M48" s="59"/>
      <c r="N48" s="94"/>
      <c r="O48" s="94"/>
      <c r="P48" s="79" t="s">
        <v>98</v>
      </c>
      <c r="S48" s="97">
        <f>COUNTIF(oktober,"Ikke relevant")</f>
        <v>0</v>
      </c>
      <c r="T48" s="59"/>
      <c r="U48" s="94"/>
      <c r="V48" s="94"/>
      <c r="W48" s="79" t="s">
        <v>98</v>
      </c>
      <c r="Z48" s="97">
        <f>COUNTIF(november,"Ikke relevant")</f>
        <v>0</v>
      </c>
      <c r="AA48" s="59"/>
      <c r="AB48" s="94"/>
      <c r="AC48" s="94"/>
      <c r="AD48" s="79" t="s">
        <v>98</v>
      </c>
      <c r="AG48" s="97">
        <f>COUNTIF(december,"Ikke relevant")</f>
        <v>0</v>
      </c>
      <c r="AH48" s="59"/>
      <c r="AI48" s="94"/>
      <c r="AJ48" s="94"/>
      <c r="AK48" s="79" t="s">
        <v>98</v>
      </c>
      <c r="AN48" s="97">
        <f>COUNTIF(januar,"Ikke relevant")</f>
        <v>0</v>
      </c>
      <c r="AO48" s="59"/>
      <c r="AP48" s="94"/>
      <c r="AQ48" s="94"/>
      <c r="AR48" s="79" t="s">
        <v>98</v>
      </c>
      <c r="AU48" s="97">
        <f>COUNTIF(februar,"Ikke relevant")</f>
        <v>0</v>
      </c>
      <c r="AV48" s="59"/>
      <c r="AW48" s="94"/>
      <c r="AX48" s="94"/>
      <c r="AY48" s="79" t="s">
        <v>98</v>
      </c>
      <c r="BB48" s="97">
        <f>COUNTIF(marts,"Ikke relevant")</f>
        <v>0</v>
      </c>
      <c r="BC48" s="59"/>
      <c r="BD48" s="94"/>
      <c r="BE48" s="94"/>
      <c r="BF48" s="79" t="s">
        <v>98</v>
      </c>
      <c r="BI48" s="97">
        <f>COUNTIF(april,"Ikke relevant")</f>
        <v>0</v>
      </c>
      <c r="BJ48" s="59"/>
      <c r="BK48" s="94"/>
      <c r="BL48" s="94"/>
      <c r="BM48" s="79" t="s">
        <v>98</v>
      </c>
      <c r="BP48" s="97">
        <f>COUNTIF(maj,"Ikke relevant")</f>
        <v>0</v>
      </c>
      <c r="BQ48" s="59"/>
      <c r="BR48" s="94"/>
      <c r="BS48" s="94"/>
      <c r="BT48" s="79" t="s">
        <v>98</v>
      </c>
      <c r="BW48" s="97">
        <f>COUNTIF(juni,"Ikke relevant")</f>
        <v>0</v>
      </c>
      <c r="BX48" s="59"/>
      <c r="BY48" s="94"/>
      <c r="BZ48" s="94"/>
      <c r="CA48" s="79" t="s">
        <v>98</v>
      </c>
      <c r="CD48" s="97">
        <f>COUNTIF(juli,"Ikke relevant")</f>
        <v>0</v>
      </c>
      <c r="CE48" s="59"/>
      <c r="CF48" s="94"/>
      <c r="CG48" s="94"/>
      <c r="CJ48" s="94"/>
      <c r="CK48" s="86"/>
    </row>
    <row r="49" spans="1:91" ht="15" customHeight="1" x14ac:dyDescent="0.2">
      <c r="A49" s="52" t="s">
        <v>80</v>
      </c>
      <c r="B49" s="37" t="s">
        <v>61</v>
      </c>
      <c r="C49" s="38"/>
      <c r="D49" s="38"/>
      <c r="E49" s="97">
        <f>SUM(E37:E48)</f>
        <v>31</v>
      </c>
      <c r="F49" s="59"/>
      <c r="G49" s="85" t="s">
        <v>118</v>
      </c>
      <c r="H49" s="91">
        <f>COUNTIFS($C$5:$C$35,"ma",august,"Skema 3")</f>
        <v>0</v>
      </c>
      <c r="I49" s="37" t="s">
        <v>61</v>
      </c>
      <c r="J49" s="38"/>
      <c r="K49" s="38"/>
      <c r="L49" s="97">
        <f>SUM(L37:L48)</f>
        <v>30</v>
      </c>
      <c r="M49" s="59"/>
      <c r="N49" s="85" t="s">
        <v>118</v>
      </c>
      <c r="O49" s="87">
        <f>COUNTIFS($J$5:$J$34,"ma",september,"Skema 3")</f>
        <v>0</v>
      </c>
      <c r="P49" s="37" t="s">
        <v>61</v>
      </c>
      <c r="Q49" s="38"/>
      <c r="R49" s="38"/>
      <c r="S49" s="97">
        <f>SUM(S37:S48)</f>
        <v>31</v>
      </c>
      <c r="T49" s="59"/>
      <c r="U49" s="85" t="s">
        <v>118</v>
      </c>
      <c r="V49" s="87">
        <f>COUNTIFS(Q5:Q35,"ma",oktober,"Skema 3")</f>
        <v>0</v>
      </c>
      <c r="W49" s="37" t="s">
        <v>61</v>
      </c>
      <c r="X49" s="38"/>
      <c r="Y49" s="38"/>
      <c r="Z49" s="97">
        <f>SUM(Z37:Z48)</f>
        <v>30</v>
      </c>
      <c r="AA49" s="59"/>
      <c r="AB49" s="85" t="s">
        <v>118</v>
      </c>
      <c r="AC49" s="87">
        <f>COUNTIFS(X5:X34,"ma",november,"Skema 3")</f>
        <v>0</v>
      </c>
      <c r="AD49" s="37" t="s">
        <v>61</v>
      </c>
      <c r="AE49" s="38"/>
      <c r="AF49" s="38"/>
      <c r="AG49" s="97">
        <f>SUM(AG37:AG48)</f>
        <v>31</v>
      </c>
      <c r="AH49" s="59"/>
      <c r="AI49" s="85" t="s">
        <v>118</v>
      </c>
      <c r="AJ49" s="87">
        <f>COUNTIFS(AE5:AE35,"ma",december,"Skema 3")</f>
        <v>0</v>
      </c>
      <c r="AK49" s="37" t="s">
        <v>61</v>
      </c>
      <c r="AL49" s="38"/>
      <c r="AM49" s="38"/>
      <c r="AN49" s="97">
        <f>SUM(AN37:AN48)</f>
        <v>31</v>
      </c>
      <c r="AO49" s="59"/>
      <c r="AP49" s="85" t="s">
        <v>118</v>
      </c>
      <c r="AQ49" s="87">
        <f>COUNTIFS(AL5:AL35,"ma",januar,"Skema 3")</f>
        <v>0</v>
      </c>
      <c r="AR49" s="37" t="s">
        <v>61</v>
      </c>
      <c r="AS49" s="38"/>
      <c r="AT49" s="38"/>
      <c r="AU49" s="97">
        <f>SUM(AU37:AU48)</f>
        <v>28</v>
      </c>
      <c r="AV49" s="59"/>
      <c r="AW49" s="85" t="s">
        <v>118</v>
      </c>
      <c r="AX49" s="87">
        <f>COUNTIFS(AS5:AS33,"ma",februar,"Skema 3")</f>
        <v>0</v>
      </c>
      <c r="AY49" s="37" t="s">
        <v>61</v>
      </c>
      <c r="AZ49" s="38"/>
      <c r="BA49" s="38"/>
      <c r="BB49" s="97">
        <f>SUM(BB37:BB48)</f>
        <v>31</v>
      </c>
      <c r="BC49" s="59"/>
      <c r="BD49" s="85" t="s">
        <v>118</v>
      </c>
      <c r="BE49" s="87">
        <f>COUNTIFS(AZ5:AZ35,"ma",marts,"Skema 3")</f>
        <v>0</v>
      </c>
      <c r="BF49" s="37" t="s">
        <v>61</v>
      </c>
      <c r="BG49" s="38"/>
      <c r="BH49" s="38"/>
      <c r="BI49" s="97">
        <f>SUM(BI37:BI48)</f>
        <v>30</v>
      </c>
      <c r="BJ49" s="59"/>
      <c r="BK49" s="85" t="s">
        <v>118</v>
      </c>
      <c r="BL49" s="87">
        <f>COUNTIFS(BG5:BG34,"ma",april,"Skema 3")</f>
        <v>0</v>
      </c>
      <c r="BM49" s="37" t="s">
        <v>61</v>
      </c>
      <c r="BN49" s="38"/>
      <c r="BO49" s="38"/>
      <c r="BP49" s="97">
        <f>SUM(BP37:BP48)</f>
        <v>31</v>
      </c>
      <c r="BQ49" s="59"/>
      <c r="BR49" s="85" t="s">
        <v>118</v>
      </c>
      <c r="BS49" s="87">
        <f>COUNTIFS(BN5:BN35,"ma",maj,"Skema 3")</f>
        <v>0</v>
      </c>
      <c r="BT49" s="37" t="s">
        <v>61</v>
      </c>
      <c r="BU49" s="38"/>
      <c r="BV49" s="38"/>
      <c r="BW49" s="97">
        <f>SUM(BW37:BW48)</f>
        <v>30</v>
      </c>
      <c r="BX49" s="59"/>
      <c r="BY49" s="85" t="s">
        <v>118</v>
      </c>
      <c r="BZ49" s="87">
        <f>COUNTIFS(BU5:BU34,"ma",juni,"Skema 3")</f>
        <v>0</v>
      </c>
      <c r="CA49" s="37" t="s">
        <v>61</v>
      </c>
      <c r="CB49" s="38"/>
      <c r="CC49" s="38"/>
      <c r="CD49" s="97">
        <f>SUM(CD37:CD48)</f>
        <v>31</v>
      </c>
      <c r="CE49" s="59"/>
      <c r="CF49" s="85" t="s">
        <v>118</v>
      </c>
      <c r="CG49" s="87">
        <f>COUNTIFS(CB5:CB35,"ma",juli,"Skema 3")</f>
        <v>0</v>
      </c>
      <c r="CI49" s="30" t="s">
        <v>130</v>
      </c>
      <c r="CJ49" s="85" t="s">
        <v>24</v>
      </c>
      <c r="CK49" s="86">
        <f>CG49+BZ49+BS49+BL49+BE49+AX49+AQ49+AJ49+AC49+V49+O49+H49</f>
        <v>0</v>
      </c>
    </row>
    <row r="50" spans="1:91" ht="15" customHeight="1" x14ac:dyDescent="0.2">
      <c r="A50" s="52" t="s">
        <v>98</v>
      </c>
      <c r="B50" s="30" t="s">
        <v>142</v>
      </c>
      <c r="E50" s="30">
        <f>E49-E44-B119</f>
        <v>22</v>
      </c>
      <c r="G50" s="41" t="s">
        <v>119</v>
      </c>
      <c r="H50" s="92">
        <f>COUNTIFS($C$5:$C$35,"ti",august,"Skema 3")</f>
        <v>0</v>
      </c>
      <c r="I50" s="30" t="s">
        <v>142</v>
      </c>
      <c r="L50" s="30">
        <f>L49-L44-I119</f>
        <v>21</v>
      </c>
      <c r="N50" s="41" t="s">
        <v>119</v>
      </c>
      <c r="O50" s="87">
        <f>COUNTIFS($J$5:$J$34,"ti",september,"Skema 3")</f>
        <v>0</v>
      </c>
      <c r="P50" s="30" t="s">
        <v>142</v>
      </c>
      <c r="S50" s="30">
        <f>S49-S44-P118</f>
        <v>23</v>
      </c>
      <c r="U50" s="41" t="s">
        <v>119</v>
      </c>
      <c r="V50" s="87">
        <f>COUNTIFS(Q5:Q35,"ti",oktober,"Skema 3")</f>
        <v>0</v>
      </c>
      <c r="W50" s="30" t="s">
        <v>142</v>
      </c>
      <c r="Z50" s="30">
        <f>Z49-Z44-W118</f>
        <v>21</v>
      </c>
      <c r="AB50" s="41" t="s">
        <v>119</v>
      </c>
      <c r="AC50" s="87">
        <f>COUNTIFS(X5:X34,"ti",november,"Skema 3")</f>
        <v>0</v>
      </c>
      <c r="AD50" s="30" t="s">
        <v>142</v>
      </c>
      <c r="AG50" s="30">
        <f>AG49-AG44-AD117</f>
        <v>22</v>
      </c>
      <c r="AI50" s="41" t="s">
        <v>119</v>
      </c>
      <c r="AJ50" s="87">
        <f>COUNTIFS(AE5:AE35,"ti",december,"Skema 3")</f>
        <v>0</v>
      </c>
      <c r="AK50" s="30" t="s">
        <v>142</v>
      </c>
      <c r="AN50" s="30">
        <f>AN49-AN44-AK117</f>
        <v>23</v>
      </c>
      <c r="AP50" s="41" t="s">
        <v>119</v>
      </c>
      <c r="AQ50" s="87">
        <f>COUNTIFS(AL5:AL35,"ti",januar,"Skema 3")</f>
        <v>0</v>
      </c>
      <c r="AR50" s="30" t="s">
        <v>142</v>
      </c>
      <c r="AU50" s="30">
        <f>AU49-AU44-AR118</f>
        <v>20</v>
      </c>
      <c r="AW50" s="41" t="s">
        <v>119</v>
      </c>
      <c r="AX50" s="87">
        <f>COUNTIFS(AS5:AS33,"ti",februar,"Skema 3")</f>
        <v>0</v>
      </c>
      <c r="AY50" s="30" t="s">
        <v>142</v>
      </c>
      <c r="BB50" s="30">
        <f>BB49-BB44-AY118</f>
        <v>21</v>
      </c>
      <c r="BD50" s="41" t="s">
        <v>119</v>
      </c>
      <c r="BE50" s="87">
        <f>COUNTIFS(AZ5:AZ35,"ti",marts,"Skema 3")</f>
        <v>0</v>
      </c>
      <c r="BF50" s="30" t="s">
        <v>142</v>
      </c>
      <c r="BI50" s="30">
        <f>BI49-BI44-BF117</f>
        <v>22</v>
      </c>
      <c r="BK50" s="41" t="s">
        <v>119</v>
      </c>
      <c r="BL50" s="87">
        <f>COUNTIFS(BG5:BG34,"ti",april,"Skema 3")</f>
        <v>0</v>
      </c>
      <c r="BM50" s="30" t="s">
        <v>142</v>
      </c>
      <c r="BP50" s="30">
        <f>BP49-BP44-BM118</f>
        <v>22</v>
      </c>
      <c r="BR50" s="41" t="s">
        <v>119</v>
      </c>
      <c r="BS50" s="87">
        <f>COUNTIFS(BN5:BN35,"ti",maj,"Skema 3")</f>
        <v>0</v>
      </c>
      <c r="BT50" s="30" t="s">
        <v>142</v>
      </c>
      <c r="BW50" s="30">
        <f>BW49-BW44-BT117</f>
        <v>21</v>
      </c>
      <c r="BY50" s="41" t="s">
        <v>119</v>
      </c>
      <c r="BZ50" s="87">
        <f>COUNTIFS(BU5:BU34,"ti",juni,"Skema 3")</f>
        <v>0</v>
      </c>
      <c r="CA50" s="30" t="s">
        <v>142</v>
      </c>
      <c r="CD50" s="30">
        <f>CD49-CD44-CA117</f>
        <v>23</v>
      </c>
      <c r="CF50" s="41" t="s">
        <v>119</v>
      </c>
      <c r="CG50" s="87">
        <f>COUNTIFS(CB5:CB35,"ti",juli,"Skema 3")</f>
        <v>0</v>
      </c>
      <c r="CI50" s="30" t="str">
        <f>CI49</f>
        <v>Skema 3</v>
      </c>
      <c r="CJ50" s="41" t="s">
        <v>25</v>
      </c>
      <c r="CK50" s="86">
        <f>CG50+BZ50+BS50+BL50+BE50+AX50+AQ50+AJ50+AC50+V50+O50+H50</f>
        <v>0</v>
      </c>
    </row>
    <row r="51" spans="1:91" x14ac:dyDescent="0.2">
      <c r="A51" s="52"/>
      <c r="F51" s="36"/>
      <c r="G51" s="41" t="s">
        <v>120</v>
      </c>
      <c r="H51" s="92">
        <f>COUNTIFS($C$5:$C$35,"on",august,"Skema 3")</f>
        <v>0</v>
      </c>
      <c r="M51" s="36"/>
      <c r="N51" s="41" t="s">
        <v>120</v>
      </c>
      <c r="O51" s="87">
        <f>COUNTIFS($J$5:$J$34,"on",september,"Skema 3")</f>
        <v>0</v>
      </c>
      <c r="T51" s="36"/>
      <c r="U51" s="41" t="s">
        <v>120</v>
      </c>
      <c r="V51" s="87">
        <f>COUNTIFS(Q5:Q35,"on",oktober,"Skema 3")</f>
        <v>0</v>
      </c>
      <c r="AA51" s="36"/>
      <c r="AB51" s="41" t="s">
        <v>120</v>
      </c>
      <c r="AC51" s="87">
        <f>COUNTIFS(X5:X34,"on",november,"Skema 3")</f>
        <v>0</v>
      </c>
      <c r="AH51" s="36"/>
      <c r="AI51" s="41" t="s">
        <v>120</v>
      </c>
      <c r="AJ51" s="87">
        <f>COUNTIFS(AE5:AE35,"on",december,"Skema 3")</f>
        <v>0</v>
      </c>
      <c r="AN51" s="30"/>
      <c r="AO51" s="36"/>
      <c r="AP51" s="41" t="s">
        <v>120</v>
      </c>
      <c r="AQ51" s="87">
        <f>COUNTIFS(AL5:AL35,"on",januar,"Skema 3")</f>
        <v>0</v>
      </c>
      <c r="AU51" s="30"/>
      <c r="AV51" s="36"/>
      <c r="AW51" s="41" t="s">
        <v>120</v>
      </c>
      <c r="AX51" s="87">
        <f>COUNTIFS(AS5:AS33,"on",februar,"Skema 3")</f>
        <v>0</v>
      </c>
      <c r="BB51" s="30"/>
      <c r="BC51" s="36"/>
      <c r="BD51" s="41" t="s">
        <v>120</v>
      </c>
      <c r="BE51" s="87">
        <f>COUNTIFS(AZ5:AZ35,"on",marts,"Skema 3")</f>
        <v>0</v>
      </c>
      <c r="BJ51" s="36"/>
      <c r="BK51" s="41" t="s">
        <v>120</v>
      </c>
      <c r="BL51" s="87">
        <f>COUNTIFS(BG5:BG34,"on",april,"Skema 3")</f>
        <v>0</v>
      </c>
      <c r="BQ51" s="36"/>
      <c r="BR51" s="41" t="s">
        <v>120</v>
      </c>
      <c r="BS51" s="87">
        <f>COUNTIFS(BN5:BN35,"on",maj,"Skema 3")</f>
        <v>0</v>
      </c>
      <c r="BX51" s="36"/>
      <c r="BY51" s="41" t="s">
        <v>120</v>
      </c>
      <c r="BZ51" s="87">
        <f>COUNTIFS(BU5:BU34,"on",juni,"Skema 3")</f>
        <v>0</v>
      </c>
      <c r="CE51" s="36"/>
      <c r="CF51" s="41" t="s">
        <v>120</v>
      </c>
      <c r="CG51" s="87">
        <f>COUNTIFS(CB5:CB35,"on",juli,"Skema 3")</f>
        <v>0</v>
      </c>
      <c r="CI51" s="30" t="str">
        <f>CI50</f>
        <v>Skema 3</v>
      </c>
      <c r="CJ51" s="85" t="s">
        <v>26</v>
      </c>
      <c r="CK51" s="86">
        <f>CG51+BZ51+BS51+BL51+BE51+AX51+AQ51+AJ51+AC51+V51+O51+H51</f>
        <v>0</v>
      </c>
    </row>
    <row r="52" spans="1:91" x14ac:dyDescent="0.2">
      <c r="A52" s="118"/>
      <c r="B52" s="52">
        <f>COUNTIF($D$10:$D$11,"Skema 1")</f>
        <v>0</v>
      </c>
      <c r="C52" s="52"/>
      <c r="D52" s="52"/>
      <c r="E52" s="52"/>
      <c r="G52" s="41" t="s">
        <v>121</v>
      </c>
      <c r="H52" s="92">
        <f>COUNTIFS($C$5:$C$35,"to",august,"Skema 3")</f>
        <v>0</v>
      </c>
      <c r="I52" s="52">
        <f>COUNTIF($D$10:$D$11,"Skema 1")</f>
        <v>0</v>
      </c>
      <c r="N52" s="41" t="s">
        <v>121</v>
      </c>
      <c r="O52" s="87">
        <f>COUNTIFS($J$5:$J$34,"to",september,"Skema 3")</f>
        <v>0</v>
      </c>
      <c r="U52" s="41" t="s">
        <v>121</v>
      </c>
      <c r="V52" s="87">
        <f>COUNTIFS(Q5:Q35,"to",oktober,"Skema 3")</f>
        <v>0</v>
      </c>
      <c r="AB52" s="41" t="s">
        <v>121</v>
      </c>
      <c r="AC52" s="87">
        <f>COUNTIFS(X5:X34,"to",november,"Skema 3")</f>
        <v>0</v>
      </c>
      <c r="AI52" s="41" t="s">
        <v>121</v>
      </c>
      <c r="AJ52" s="87">
        <f>COUNTIFS(AE5:AE35,"to",december,"Skema 3")</f>
        <v>0</v>
      </c>
      <c r="AN52" s="30"/>
      <c r="AP52" s="41" t="s">
        <v>121</v>
      </c>
      <c r="AQ52" s="87">
        <f>COUNTIFS(AL5:AL35,"to",januar,"Skema 3")</f>
        <v>0</v>
      </c>
      <c r="AU52" s="30"/>
      <c r="AW52" s="41" t="s">
        <v>121</v>
      </c>
      <c r="AX52" s="87">
        <f>COUNTIFS(AS5:AS33,"to",februar,"Skema 3")</f>
        <v>0</v>
      </c>
      <c r="BB52" s="30"/>
      <c r="BD52" s="41" t="s">
        <v>121</v>
      </c>
      <c r="BE52" s="87">
        <f>COUNTIFS(AZ5:AZ35,"to",marts,"Skema 3")</f>
        <v>0</v>
      </c>
      <c r="BK52" s="41" t="s">
        <v>121</v>
      </c>
      <c r="BL52" s="87">
        <f>COUNTIFS(BG5:BG34,"to",april,"Skema 3")</f>
        <v>0</v>
      </c>
      <c r="BR52" s="41" t="s">
        <v>121</v>
      </c>
      <c r="BS52" s="87">
        <f>COUNTIFS(BN5:BN35,"to",maj,"Skema 3")</f>
        <v>0</v>
      </c>
      <c r="BY52" s="41" t="s">
        <v>121</v>
      </c>
      <c r="BZ52" s="87">
        <f>COUNTIFS(BU5:BU34,"to",juni,"Skema 3")</f>
        <v>0</v>
      </c>
      <c r="CF52" s="41" t="s">
        <v>121</v>
      </c>
      <c r="CG52" s="87">
        <f>COUNTIFS(CB5:CB35,"to",juli,"Skema 3")</f>
        <v>0</v>
      </c>
      <c r="CI52" s="30" t="str">
        <f>CI51</f>
        <v>Skema 3</v>
      </c>
      <c r="CJ52" s="41" t="s">
        <v>27</v>
      </c>
      <c r="CK52" s="86">
        <f>CG52+BZ52+BS52+BL52+BE52+AX52+AQ52+AJ52+AC52+V52+O52+H52</f>
        <v>0</v>
      </c>
    </row>
    <row r="53" spans="1:91" x14ac:dyDescent="0.2">
      <c r="A53" s="118"/>
      <c r="B53" s="52">
        <f>COUNTIF($D$17:$D$18,"Skema 1")</f>
        <v>2</v>
      </c>
      <c r="C53" s="52"/>
      <c r="D53" s="52"/>
      <c r="E53" s="52"/>
      <c r="G53" s="88" t="s">
        <v>122</v>
      </c>
      <c r="H53" s="93">
        <f>COUNTIFS($C$5:$C$35,"fr",august,"Skema 3")</f>
        <v>0</v>
      </c>
      <c r="I53" s="52">
        <f>COUNTIF($D$17:$D$18,"Skema 1")</f>
        <v>2</v>
      </c>
      <c r="N53" s="88" t="s">
        <v>122</v>
      </c>
      <c r="O53" s="87">
        <f>COUNTIFS($J$5:$J$34,"fr",september,"Skema 3")</f>
        <v>0</v>
      </c>
      <c r="U53" s="88" t="s">
        <v>122</v>
      </c>
      <c r="V53" s="87">
        <f>COUNTIFS(Q5:Q35,"fr",oktober,"Skema 3")</f>
        <v>0</v>
      </c>
      <c r="AB53" s="88" t="s">
        <v>122</v>
      </c>
      <c r="AC53" s="87">
        <f>COUNTIFS(X5:X34,"fr",november,"Skema 3")</f>
        <v>0</v>
      </c>
      <c r="AI53" s="88" t="s">
        <v>122</v>
      </c>
      <c r="AJ53" s="87">
        <f>COUNTIFS(AE5:AE35,"fr",december,"Skema 3")</f>
        <v>0</v>
      </c>
      <c r="AN53" s="30"/>
      <c r="AP53" s="88" t="s">
        <v>122</v>
      </c>
      <c r="AQ53" s="87">
        <f>COUNTIFS(AL5:AL35,"fr",januar,"Skema 3")</f>
        <v>0</v>
      </c>
      <c r="AU53" s="30"/>
      <c r="AW53" s="88" t="s">
        <v>122</v>
      </c>
      <c r="AX53" s="87">
        <f>COUNTIFS(AS5:AS33,"fr",februar,"Skema 3")</f>
        <v>0</v>
      </c>
      <c r="BB53" s="30"/>
      <c r="BD53" s="88" t="s">
        <v>122</v>
      </c>
      <c r="BE53" s="87">
        <f>COUNTIFS(AZ5:AZ35,"fr",marts,"Skema 3")</f>
        <v>0</v>
      </c>
      <c r="BK53" s="88" t="s">
        <v>122</v>
      </c>
      <c r="BL53" s="87">
        <f>COUNTIFS(BG5:BG34,"fr",april,"Skema 3")</f>
        <v>0</v>
      </c>
      <c r="BR53" s="88" t="s">
        <v>122</v>
      </c>
      <c r="BS53" s="87">
        <f>COUNTIFS(BN5:BN35,"fr",maj,"Skema 3")</f>
        <v>0</v>
      </c>
      <c r="BY53" s="88" t="s">
        <v>122</v>
      </c>
      <c r="BZ53" s="87">
        <f>COUNTIFS(BU5:BU34,"fr",juni,"Skema 3")</f>
        <v>0</v>
      </c>
      <c r="CF53" s="88" t="s">
        <v>122</v>
      </c>
      <c r="CG53" s="87">
        <f>COUNTIFS(CB5:CB35,"fr",juli,"Skema 3")</f>
        <v>0</v>
      </c>
      <c r="CI53" s="30" t="str">
        <f>CI52</f>
        <v>Skema 3</v>
      </c>
      <c r="CJ53" s="85" t="s">
        <v>28</v>
      </c>
      <c r="CK53" s="86">
        <f>CG53+BZ53+BS53+BL53+BE53+AX53+AQ53+AJ53+AC53+V53+O53+H53</f>
        <v>0</v>
      </c>
    </row>
    <row r="54" spans="1:91" x14ac:dyDescent="0.2">
      <c r="A54" s="52"/>
      <c r="B54" s="52">
        <f>COUNTIF($D$24:$D$25,"Skema 1")</f>
        <v>2</v>
      </c>
      <c r="C54" s="52"/>
      <c r="D54" s="52"/>
      <c r="E54" s="52"/>
      <c r="I54" s="52">
        <f>COUNTIF($D$24:$D$25,"Skema 1")</f>
        <v>2</v>
      </c>
      <c r="AN54" s="30"/>
      <c r="AU54" s="30"/>
      <c r="BB54" s="30"/>
      <c r="CK54" s="86"/>
    </row>
    <row r="55" spans="1:91" x14ac:dyDescent="0.2">
      <c r="A55" s="52" t="s">
        <v>68</v>
      </c>
      <c r="B55" s="52">
        <f>COUNTIF($D$31:$D$32,"Skema 1")</f>
        <v>2</v>
      </c>
      <c r="C55" s="52"/>
      <c r="D55" s="52"/>
      <c r="E55" s="52"/>
      <c r="G55" s="85" t="s">
        <v>123</v>
      </c>
      <c r="H55" s="91">
        <f>COUNTIFS($C$5:$C$35,"ma",august,"Skema 4")</f>
        <v>0</v>
      </c>
      <c r="I55" s="52">
        <f>COUNTIF($D$31:$D$32,"Skema 1")</f>
        <v>2</v>
      </c>
      <c r="N55" s="85" t="s">
        <v>123</v>
      </c>
      <c r="O55" s="87">
        <f>COUNTIFS($J$5:$J$34,"ma",september,"Skema 4")</f>
        <v>0</v>
      </c>
      <c r="U55" s="85" t="s">
        <v>123</v>
      </c>
      <c r="V55" s="87">
        <f>COUNTIFS(Q5:Q35,"ma",oktober,"Skema 4")</f>
        <v>0</v>
      </c>
      <c r="AB55" s="85" t="s">
        <v>123</v>
      </c>
      <c r="AC55" s="87">
        <f>COUNTIFS(X5:X34,"ma",november,"Skema 4")</f>
        <v>0</v>
      </c>
      <c r="AI55" s="85" t="s">
        <v>123</v>
      </c>
      <c r="AJ55" s="87">
        <f>COUNTIFS(AE5:AE35,"ma",december,"Skema 4")</f>
        <v>0</v>
      </c>
      <c r="AN55" s="30"/>
      <c r="AP55" s="85" t="s">
        <v>123</v>
      </c>
      <c r="AQ55" s="87">
        <f>COUNTIFS(AL5:AL35,"ma",januar,"Skema 4")</f>
        <v>0</v>
      </c>
      <c r="AU55" s="30"/>
      <c r="AW55" s="85" t="s">
        <v>123</v>
      </c>
      <c r="AX55" s="87">
        <f>COUNTIFS(AS5:AS33,"ma",februar,"Skema 4")</f>
        <v>0</v>
      </c>
      <c r="BB55" s="30"/>
      <c r="BD55" s="85" t="s">
        <v>123</v>
      </c>
      <c r="BE55" s="87">
        <f>COUNTIFS(AZ5:AZ35,"ma",marts,"Skema 4")</f>
        <v>0</v>
      </c>
      <c r="BK55" s="85" t="s">
        <v>123</v>
      </c>
      <c r="BL55" s="87">
        <f>COUNTIFS(BG5:BG34,"ma",april,"Skema 4")</f>
        <v>0</v>
      </c>
      <c r="BR55" s="85" t="s">
        <v>123</v>
      </c>
      <c r="BS55" s="87">
        <f>COUNTIFS(BN5:BN35,"ma",maj,"Skema 4")</f>
        <v>0</v>
      </c>
      <c r="BY55" s="85" t="s">
        <v>123</v>
      </c>
      <c r="BZ55" s="87">
        <f>COUNTIFS(BU5:BU34,"ma",juni,"Skema 4")</f>
        <v>0</v>
      </c>
      <c r="CF55" s="85" t="s">
        <v>123</v>
      </c>
      <c r="CG55" s="87">
        <f>COUNTIFS(CB5:CB35,"ma",juli,"Skema 4")</f>
        <v>0</v>
      </c>
      <c r="CI55" s="30" t="s">
        <v>131</v>
      </c>
      <c r="CJ55" s="85" t="s">
        <v>24</v>
      </c>
      <c r="CK55" s="86">
        <f>CG55+BZ55+BS55+BL55+BE55+AX55+AQ55+AJ55+AC55+V55+O55+H55</f>
        <v>0</v>
      </c>
    </row>
    <row r="56" spans="1:91" x14ac:dyDescent="0.2">
      <c r="A56" s="52" t="s">
        <v>75</v>
      </c>
      <c r="B56" s="52"/>
      <c r="C56" s="52"/>
      <c r="D56" s="52"/>
      <c r="E56" s="52"/>
      <c r="G56" s="41" t="s">
        <v>124</v>
      </c>
      <c r="H56" s="92">
        <f>COUNTIFS($C$5:$C$35,"ti",august,"Skema 4")</f>
        <v>0</v>
      </c>
      <c r="N56" s="41" t="s">
        <v>124</v>
      </c>
      <c r="O56" s="87">
        <f>COUNTIFS($J$5:$J$34,"ti",september,"Skema 4")</f>
        <v>0</v>
      </c>
      <c r="U56" s="41" t="s">
        <v>124</v>
      </c>
      <c r="V56" s="87">
        <f>COUNTIFS(Q5:Q35,"ti",oktober,"Skema 4")</f>
        <v>0</v>
      </c>
      <c r="AB56" s="41" t="s">
        <v>124</v>
      </c>
      <c r="AC56" s="87">
        <f>COUNTIFS(X5:X34,"ti",november,"Skema 4")</f>
        <v>0</v>
      </c>
      <c r="AI56" s="41" t="s">
        <v>124</v>
      </c>
      <c r="AJ56" s="87">
        <f>COUNTIFS(AE5:AE35,"ti",december,"Skema 4")</f>
        <v>0</v>
      </c>
      <c r="AN56" s="30"/>
      <c r="AP56" s="41" t="s">
        <v>124</v>
      </c>
      <c r="AQ56" s="87">
        <f>COUNTIFS(AL5:AL35,"ti",januar,"Skema 4")</f>
        <v>0</v>
      </c>
      <c r="AU56" s="30"/>
      <c r="AW56" s="41" t="s">
        <v>124</v>
      </c>
      <c r="AX56" s="87">
        <f>COUNTIFS(AS5:AS33,"ti",februar,"Skema 4")</f>
        <v>0</v>
      </c>
      <c r="BB56" s="30"/>
      <c r="BD56" s="41" t="s">
        <v>124</v>
      </c>
      <c r="BE56" s="87">
        <f>COUNTIFS(AZ5:AZ35,"ti",marts,"Skema 4")</f>
        <v>0</v>
      </c>
      <c r="BK56" s="41" t="s">
        <v>124</v>
      </c>
      <c r="BL56" s="87">
        <f>COUNTIFS(BG5:BG34,"ti",april,"Skema 4")</f>
        <v>0</v>
      </c>
      <c r="BR56" s="41" t="s">
        <v>124</v>
      </c>
      <c r="BS56" s="87">
        <f>COUNTIFS(BN5:BN35,"ti",maj,"Skema 4")</f>
        <v>0</v>
      </c>
      <c r="BY56" s="41" t="s">
        <v>124</v>
      </c>
      <c r="BZ56" s="87">
        <f>COUNTIFS(BU5:BU34,"ti",juni,"Skema 4")</f>
        <v>0</v>
      </c>
      <c r="CF56" s="41" t="s">
        <v>124</v>
      </c>
      <c r="CG56" s="87">
        <f>COUNTIFS(CB5:CB35,"ti",juli,"Skema 4")</f>
        <v>0</v>
      </c>
      <c r="CI56" s="30" t="str">
        <f>CI55</f>
        <v>Skema 4</v>
      </c>
      <c r="CJ56" s="41" t="s">
        <v>25</v>
      </c>
      <c r="CK56" s="86">
        <f>CG56+BZ56+BS56+BL56+BE56+AX56+AQ56+AJ56+AC56+V56+O56+H56</f>
        <v>0</v>
      </c>
    </row>
    <row r="57" spans="1:91" x14ac:dyDescent="0.2">
      <c r="A57" s="52" t="s">
        <v>76</v>
      </c>
      <c r="B57" s="52"/>
      <c r="C57" s="52"/>
      <c r="D57" s="52"/>
      <c r="E57" s="52"/>
      <c r="G57" s="41" t="s">
        <v>125</v>
      </c>
      <c r="H57" s="92">
        <f>COUNTIFS($C$5:$C$35,"on",august,"Skema 4")</f>
        <v>0</v>
      </c>
      <c r="N57" s="41" t="s">
        <v>125</v>
      </c>
      <c r="O57" s="87">
        <f>COUNTIFS($J$5:$J$34,"on",september,"Skema 4")</f>
        <v>0</v>
      </c>
      <c r="U57" s="41" t="s">
        <v>125</v>
      </c>
      <c r="V57" s="87">
        <f>COUNTIFS(Q5:Q35,"on",oktober,"Skema 4")</f>
        <v>0</v>
      </c>
      <c r="AB57" s="41" t="s">
        <v>125</v>
      </c>
      <c r="AC57" s="87">
        <f>COUNTIFS(X5:X34,"on",november,"Skema 4")</f>
        <v>0</v>
      </c>
      <c r="AI57" s="41" t="s">
        <v>125</v>
      </c>
      <c r="AJ57" s="87">
        <f>COUNTIFS(AE5:AE35,"on",december,"Skema 4")</f>
        <v>0</v>
      </c>
      <c r="AN57" s="30"/>
      <c r="AP57" s="41" t="s">
        <v>125</v>
      </c>
      <c r="AQ57" s="87">
        <f>COUNTIFS(AL5:AL35,"on",januar,"Skema 4")</f>
        <v>0</v>
      </c>
      <c r="AU57" s="30"/>
      <c r="AW57" s="41" t="s">
        <v>125</v>
      </c>
      <c r="AX57" s="87">
        <f>COUNTIFS(AS5:AS33,"on",februar,"Skema 4")</f>
        <v>0</v>
      </c>
      <c r="BB57" s="30"/>
      <c r="BD57" s="41" t="s">
        <v>125</v>
      </c>
      <c r="BE57" s="87">
        <f>COUNTIFS(AZ5:AZ35,"on",marts,"Skema 4")</f>
        <v>0</v>
      </c>
      <c r="BK57" s="41" t="s">
        <v>125</v>
      </c>
      <c r="BL57" s="87">
        <f>COUNTIFS(BG5:BG34,"on",april,"Skema 4")</f>
        <v>0</v>
      </c>
      <c r="BR57" s="41" t="s">
        <v>125</v>
      </c>
      <c r="BS57" s="87">
        <f>COUNTIFS(BN5:BN35,"on",maj,"Skema 4")</f>
        <v>0</v>
      </c>
      <c r="BY57" s="41" t="s">
        <v>125</v>
      </c>
      <c r="BZ57" s="87">
        <f>COUNTIFS(BU5:BU34,"on",juni,"Skema 4")</f>
        <v>0</v>
      </c>
      <c r="CF57" s="41" t="s">
        <v>125</v>
      </c>
      <c r="CG57" s="87">
        <f>COUNTIFS(CB5:CB35,"on",juli,"Skema 4")</f>
        <v>0</v>
      </c>
      <c r="CI57" s="30" t="str">
        <f>CI56</f>
        <v>Skema 4</v>
      </c>
      <c r="CJ57" s="85" t="s">
        <v>26</v>
      </c>
      <c r="CK57" s="86">
        <f>CG57+BZ57+BS57+BL57+BE57+AX57+AQ57+AJ57+AC57+V57+O57+H57</f>
        <v>0</v>
      </c>
    </row>
    <row r="58" spans="1:91" x14ac:dyDescent="0.2">
      <c r="A58" s="53" t="s">
        <v>66</v>
      </c>
      <c r="B58" s="52"/>
      <c r="C58" s="52"/>
      <c r="D58" s="52"/>
      <c r="E58" s="52"/>
      <c r="G58" s="41" t="s">
        <v>126</v>
      </c>
      <c r="H58" s="92">
        <f>COUNTIFS($C$5:$C$35,"to",august,"Skema 4")</f>
        <v>0</v>
      </c>
      <c r="N58" s="41" t="s">
        <v>126</v>
      </c>
      <c r="O58" s="87">
        <f>COUNTIFS($J$5:$J$34,"to",september,"Skema 4")</f>
        <v>0</v>
      </c>
      <c r="U58" s="41" t="s">
        <v>126</v>
      </c>
      <c r="V58" s="87">
        <f>COUNTIFS(Q5:Q35,"to",oktober,"Skema 4")</f>
        <v>0</v>
      </c>
      <c r="AB58" s="41" t="s">
        <v>126</v>
      </c>
      <c r="AC58" s="87">
        <f>COUNTIFS(X5:X34,"to",november,"Skema 4")</f>
        <v>0</v>
      </c>
      <c r="AI58" s="41" t="s">
        <v>126</v>
      </c>
      <c r="AJ58" s="87">
        <f>COUNTIFS(AE5:AE35,"to",december,"Skema 4")</f>
        <v>0</v>
      </c>
      <c r="AN58" s="30"/>
      <c r="AP58" s="41" t="s">
        <v>126</v>
      </c>
      <c r="AQ58" s="87">
        <f>COUNTIFS(AL5:AL35,"to",januar,"Skema 4")</f>
        <v>0</v>
      </c>
      <c r="AU58" s="30"/>
      <c r="AW58" s="41" t="s">
        <v>126</v>
      </c>
      <c r="AX58" s="87">
        <f>COUNTIFS(AS5:AS33,"to",februar,"Skema 4")</f>
        <v>0</v>
      </c>
      <c r="BB58" s="30"/>
      <c r="BD58" s="41" t="s">
        <v>126</v>
      </c>
      <c r="BE58" s="87">
        <f>COUNTIFS(AZ5:AZ35,"to",marts,"Skema 4")</f>
        <v>0</v>
      </c>
      <c r="BK58" s="41" t="s">
        <v>126</v>
      </c>
      <c r="BL58" s="87">
        <f>COUNTIFS(BG5:BG34,"to",april,"Skema 4")</f>
        <v>0</v>
      </c>
      <c r="BR58" s="41" t="s">
        <v>126</v>
      </c>
      <c r="BS58" s="87">
        <f>COUNTIFS(BN5:BN35,"to",maj,"Skema 4")</f>
        <v>0</v>
      </c>
      <c r="BY58" s="41" t="s">
        <v>126</v>
      </c>
      <c r="BZ58" s="87">
        <f>COUNTIFS(BU5:BU34,"to",juni,"Skema 4")</f>
        <v>0</v>
      </c>
      <c r="CF58" s="41" t="s">
        <v>126</v>
      </c>
      <c r="CG58" s="87">
        <f>COUNTIFS(CB5:CB35,"to",juli,"Skema 4")</f>
        <v>0</v>
      </c>
      <c r="CI58" s="30" t="str">
        <f>CI57</f>
        <v>Skema 4</v>
      </c>
      <c r="CJ58" s="41" t="s">
        <v>27</v>
      </c>
      <c r="CK58" s="86">
        <f>CG58+BZ58+BS58+BL58+BE58+AX58+AQ58+AJ58+AC58+V58+O58+H58</f>
        <v>0</v>
      </c>
    </row>
    <row r="59" spans="1:91" x14ac:dyDescent="0.2">
      <c r="A59" s="52" t="s">
        <v>80</v>
      </c>
      <c r="B59" s="52"/>
      <c r="C59" s="52"/>
      <c r="D59" s="52"/>
      <c r="E59" s="52"/>
      <c r="G59" s="88" t="s">
        <v>127</v>
      </c>
      <c r="H59" s="93">
        <f>COUNTIFS($C$5:$C$35,"fr",august,"Skema 4")</f>
        <v>0</v>
      </c>
      <c r="N59" s="88" t="s">
        <v>127</v>
      </c>
      <c r="O59" s="87">
        <f>COUNTIFS($J$5:$J$34,"fr",september,"Skema 4")</f>
        <v>0</v>
      </c>
      <c r="U59" s="88" t="s">
        <v>127</v>
      </c>
      <c r="V59" s="87">
        <f>COUNTIFS(Q5:Q35,"fr",oktober,"Skema 4")</f>
        <v>0</v>
      </c>
      <c r="AB59" s="88" t="s">
        <v>127</v>
      </c>
      <c r="AC59" s="87">
        <f>COUNTIFS(X5:X34,"fr",november,"Skema 4")</f>
        <v>0</v>
      </c>
      <c r="AI59" s="88" t="s">
        <v>127</v>
      </c>
      <c r="AJ59" s="87">
        <f>COUNTIFS(AE5:AE35,"fr",december,"Skema 4")</f>
        <v>0</v>
      </c>
      <c r="AN59" s="30"/>
      <c r="AP59" s="88" t="s">
        <v>127</v>
      </c>
      <c r="AQ59" s="87">
        <f>COUNTIFS(AL5:AL35,"fr",januar,"Skema 4")</f>
        <v>0</v>
      </c>
      <c r="AU59" s="30"/>
      <c r="AW59" s="88" t="s">
        <v>127</v>
      </c>
      <c r="AX59" s="87">
        <f>COUNTIFS(AS5:AS33,"fr",februar,"Skema 4")</f>
        <v>0</v>
      </c>
      <c r="BB59" s="30"/>
      <c r="BD59" s="88" t="s">
        <v>127</v>
      </c>
      <c r="BE59" s="87">
        <f>COUNTIFS(AZ5:AZ35,"fr",marts,"Skema 4")</f>
        <v>0</v>
      </c>
      <c r="BK59" s="88" t="s">
        <v>127</v>
      </c>
      <c r="BL59" s="87">
        <f>COUNTIFS(BG5:BG34,"fr",april,"Skema 4")</f>
        <v>0</v>
      </c>
      <c r="BR59" s="88" t="s">
        <v>127</v>
      </c>
      <c r="BS59" s="87">
        <f>COUNTIFS(BN5:BN35,"fr",maj,"Skema 4")</f>
        <v>0</v>
      </c>
      <c r="BY59" s="88" t="s">
        <v>127</v>
      </c>
      <c r="BZ59" s="87">
        <f>COUNTIFS(BU5:BU34,"fr",juni,"Skema 4")</f>
        <v>0</v>
      </c>
      <c r="CF59" s="88" t="s">
        <v>127</v>
      </c>
      <c r="CG59" s="87">
        <f>COUNTIFS(CB5:CB35,"fr",juli,"Skema 4")</f>
        <v>0</v>
      </c>
      <c r="CI59" s="30" t="str">
        <f>CI58</f>
        <v>Skema 4</v>
      </c>
      <c r="CJ59" s="85" t="s">
        <v>28</v>
      </c>
      <c r="CK59" s="86">
        <f>CG59+BZ59+BS59+BL59+BE59+AX59+AQ59+AJ59+AC59+V59+O59+H59</f>
        <v>0</v>
      </c>
    </row>
    <row r="60" spans="1:91" x14ac:dyDescent="0.2">
      <c r="A60" s="52" t="s">
        <v>98</v>
      </c>
      <c r="B60" s="120"/>
      <c r="C60" s="120"/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120"/>
      <c r="Q60" s="120"/>
      <c r="R60" s="120"/>
      <c r="S60" s="120"/>
      <c r="T60" s="120"/>
      <c r="U60" s="120"/>
      <c r="V60" s="120"/>
      <c r="W60" s="120"/>
      <c r="X60" s="120"/>
      <c r="Y60" s="120"/>
      <c r="Z60" s="120"/>
      <c r="AA60" s="120"/>
      <c r="AB60" s="120"/>
      <c r="AC60" s="120"/>
      <c r="AD60" s="120"/>
      <c r="AE60" s="120"/>
      <c r="AF60" s="120"/>
      <c r="AG60" s="120"/>
      <c r="AH60" s="120"/>
      <c r="AI60" s="120"/>
      <c r="AJ60" s="120"/>
      <c r="AK60" s="120"/>
      <c r="AL60" s="120"/>
      <c r="AM60" s="120"/>
      <c r="AN60" s="121"/>
      <c r="AO60" s="120"/>
      <c r="AP60" s="120"/>
      <c r="AQ60" s="120"/>
      <c r="AR60" s="120"/>
      <c r="AS60" s="120"/>
      <c r="AT60" s="120"/>
      <c r="AU60" s="121"/>
      <c r="AV60" s="120"/>
      <c r="AW60" s="120"/>
      <c r="AX60" s="120"/>
      <c r="AY60" s="120"/>
      <c r="AZ60" s="120"/>
      <c r="BA60" s="120"/>
      <c r="BB60" s="121"/>
      <c r="BC60" s="120"/>
      <c r="BD60" s="120"/>
      <c r="BE60" s="120"/>
      <c r="BF60" s="120"/>
      <c r="BG60" s="120"/>
      <c r="BH60" s="120"/>
      <c r="BI60" s="120"/>
      <c r="BJ60" s="120"/>
      <c r="BK60" s="120"/>
      <c r="BL60" s="120"/>
      <c r="BM60" s="120"/>
      <c r="BN60" s="120"/>
      <c r="BO60" s="120"/>
      <c r="BP60" s="120"/>
      <c r="BQ60" s="120"/>
      <c r="BR60" s="120"/>
      <c r="BS60" s="120"/>
      <c r="BT60" s="120"/>
      <c r="BU60" s="120"/>
      <c r="BV60" s="120"/>
      <c r="BW60" s="120"/>
      <c r="BX60" s="120"/>
      <c r="BY60" s="120"/>
      <c r="BZ60" s="120"/>
      <c r="CA60" s="120"/>
      <c r="CB60" s="120"/>
      <c r="CC60" s="120"/>
      <c r="CD60" s="120"/>
      <c r="CE60" s="120"/>
      <c r="CF60" s="120"/>
      <c r="CG60" s="120"/>
      <c r="CH60" s="120"/>
      <c r="CI60" s="120"/>
      <c r="CJ60" s="120"/>
      <c r="CK60" s="120">
        <f>SUM(CK37:CK59)</f>
        <v>191</v>
      </c>
      <c r="CL60" s="120"/>
      <c r="CM60" s="120"/>
    </row>
    <row r="61" spans="1:91" ht="20.25" x14ac:dyDescent="0.3">
      <c r="A61" s="122" t="s">
        <v>90</v>
      </c>
      <c r="B61" s="120"/>
      <c r="C61" s="120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120"/>
      <c r="Q61" s="120"/>
      <c r="R61" s="120"/>
      <c r="S61" s="120"/>
      <c r="T61" s="120"/>
      <c r="U61" s="120"/>
      <c r="V61" s="120"/>
      <c r="W61" s="120"/>
      <c r="X61" s="120"/>
      <c r="Y61" s="120"/>
      <c r="Z61" s="120"/>
      <c r="AA61" s="120"/>
      <c r="AB61" s="120"/>
      <c r="AC61" s="120"/>
      <c r="AD61" s="120"/>
      <c r="AE61" s="120"/>
      <c r="AF61" s="120"/>
      <c r="AG61" s="120"/>
      <c r="AH61" s="120"/>
      <c r="AI61" s="120"/>
      <c r="AJ61" s="120"/>
      <c r="AK61" s="120"/>
      <c r="AL61" s="120"/>
      <c r="AM61" s="120"/>
      <c r="AN61" s="121"/>
      <c r="AO61" s="120"/>
      <c r="AP61" s="120"/>
      <c r="AQ61" s="120"/>
      <c r="AR61" s="120"/>
      <c r="AS61" s="120"/>
      <c r="AT61" s="120"/>
      <c r="AU61" s="121"/>
      <c r="AV61" s="120"/>
      <c r="AW61" s="120"/>
      <c r="AX61" s="120"/>
      <c r="AY61" s="120"/>
      <c r="AZ61" s="120"/>
      <c r="BA61" s="120"/>
      <c r="BB61" s="121"/>
      <c r="BC61" s="120"/>
      <c r="BD61" s="120"/>
      <c r="BE61" s="120"/>
      <c r="BF61" s="120"/>
      <c r="BG61" s="120"/>
      <c r="BH61" s="120"/>
      <c r="BI61" s="120"/>
      <c r="BJ61" s="120"/>
      <c r="BK61" s="120"/>
      <c r="BL61" s="120"/>
      <c r="BM61" s="120"/>
      <c r="BN61" s="120"/>
      <c r="BO61" s="120"/>
      <c r="BP61" s="120"/>
      <c r="BQ61" s="120"/>
      <c r="BR61" s="120"/>
      <c r="BS61" s="120"/>
      <c r="BT61" s="120"/>
      <c r="BU61" s="120"/>
      <c r="BV61" s="120"/>
      <c r="BW61" s="120"/>
      <c r="BX61" s="120"/>
      <c r="BY61" s="120"/>
      <c r="BZ61" s="120"/>
      <c r="CA61" s="120"/>
      <c r="CB61" s="120"/>
      <c r="CC61" s="120"/>
      <c r="CD61" s="120"/>
      <c r="CE61" s="120"/>
      <c r="CF61" s="120"/>
      <c r="CG61" s="120"/>
      <c r="CH61" s="120"/>
      <c r="CI61" s="120"/>
      <c r="CJ61" s="120"/>
      <c r="CK61" s="120"/>
      <c r="CL61" s="120"/>
      <c r="CM61" s="120"/>
    </row>
    <row r="62" spans="1:91" ht="15.75" x14ac:dyDescent="0.25">
      <c r="A62" s="123" t="s">
        <v>100</v>
      </c>
      <c r="B62" s="120"/>
      <c r="C62" s="120"/>
      <c r="D62" s="120"/>
      <c r="E62" s="120"/>
      <c r="F62" s="120"/>
      <c r="G62" s="120"/>
      <c r="H62" s="120"/>
      <c r="I62" s="120"/>
      <c r="J62" s="120"/>
      <c r="K62" s="120"/>
      <c r="L62" s="120"/>
      <c r="M62" s="120"/>
      <c r="N62" s="120"/>
      <c r="O62" s="120"/>
      <c r="P62" s="120"/>
      <c r="Q62" s="120"/>
      <c r="R62" s="120"/>
      <c r="S62" s="120"/>
      <c r="T62" s="120"/>
      <c r="U62" s="120"/>
      <c r="V62" s="120"/>
      <c r="W62" s="120"/>
      <c r="X62" s="120"/>
      <c r="Y62" s="120"/>
      <c r="Z62" s="120"/>
      <c r="AA62" s="120"/>
      <c r="AB62" s="120"/>
      <c r="AC62" s="120"/>
      <c r="AD62" s="120"/>
      <c r="AE62" s="120"/>
      <c r="AF62" s="120"/>
      <c r="AG62" s="120"/>
      <c r="AH62" s="120"/>
      <c r="AI62" s="120"/>
      <c r="AJ62" s="120"/>
      <c r="AK62" s="120"/>
      <c r="AL62" s="120"/>
      <c r="AM62" s="120"/>
      <c r="AN62" s="121"/>
      <c r="AO62" s="120"/>
      <c r="AP62" s="120"/>
      <c r="AQ62" s="120"/>
      <c r="AR62" s="120"/>
      <c r="AS62" s="120"/>
      <c r="AT62" s="120"/>
      <c r="AU62" s="121"/>
      <c r="AV62" s="120"/>
      <c r="AW62" s="120"/>
      <c r="AX62" s="120"/>
      <c r="AY62" s="120"/>
      <c r="AZ62" s="120"/>
      <c r="BA62" s="120"/>
      <c r="BB62" s="121"/>
      <c r="BC62" s="120"/>
      <c r="BD62" s="120"/>
      <c r="BE62" s="120"/>
      <c r="BF62" s="120"/>
      <c r="BG62" s="120"/>
      <c r="BH62" s="120"/>
      <c r="BI62" s="120"/>
      <c r="BJ62" s="120"/>
      <c r="BK62" s="120"/>
      <c r="BL62" s="120"/>
      <c r="BM62" s="120"/>
      <c r="BN62" s="120"/>
      <c r="BO62" s="120"/>
      <c r="BP62" s="120"/>
      <c r="BQ62" s="120"/>
      <c r="BR62" s="120"/>
      <c r="BS62" s="120"/>
      <c r="BT62" s="120"/>
      <c r="BU62" s="120"/>
      <c r="BV62" s="120"/>
      <c r="BW62" s="120"/>
      <c r="BX62" s="120"/>
      <c r="BY62" s="120"/>
      <c r="BZ62" s="120"/>
      <c r="CA62" s="120"/>
      <c r="CB62" s="120"/>
      <c r="CC62" s="120"/>
      <c r="CD62" s="120"/>
      <c r="CE62" s="120"/>
      <c r="CF62" s="120"/>
      <c r="CG62" s="120"/>
      <c r="CH62" s="120"/>
      <c r="CI62" s="120"/>
      <c r="CJ62" s="120"/>
      <c r="CK62" s="120"/>
      <c r="CL62" s="120"/>
      <c r="CM62" s="120"/>
    </row>
    <row r="63" spans="1:91" ht="15.75" x14ac:dyDescent="0.25">
      <c r="A63" s="123" t="s">
        <v>89</v>
      </c>
      <c r="B63" s="120"/>
      <c r="C63" s="120"/>
      <c r="D63" s="120"/>
      <c r="E63" s="120"/>
      <c r="F63" s="120"/>
      <c r="G63" s="120"/>
      <c r="H63" s="120"/>
      <c r="I63" s="120"/>
      <c r="J63" s="120"/>
      <c r="K63" s="120"/>
      <c r="L63" s="120"/>
      <c r="M63" s="120"/>
      <c r="N63" s="120"/>
      <c r="O63" s="120"/>
      <c r="P63" s="120"/>
      <c r="Q63" s="120"/>
      <c r="R63" s="120"/>
      <c r="S63" s="120"/>
      <c r="T63" s="120"/>
      <c r="U63" s="120"/>
      <c r="V63" s="120"/>
      <c r="W63" s="120"/>
      <c r="X63" s="120"/>
      <c r="Y63" s="120"/>
      <c r="Z63" s="120"/>
      <c r="AA63" s="120"/>
      <c r="AB63" s="120"/>
      <c r="AC63" s="120"/>
      <c r="AD63" s="120"/>
      <c r="AE63" s="120"/>
      <c r="AF63" s="120"/>
      <c r="AG63" s="120"/>
      <c r="AH63" s="120"/>
      <c r="AI63" s="120"/>
      <c r="AJ63" s="120"/>
      <c r="AK63" s="120"/>
      <c r="AL63" s="120"/>
      <c r="AM63" s="120"/>
      <c r="AN63" s="121"/>
      <c r="AO63" s="120"/>
      <c r="AP63" s="120"/>
      <c r="AQ63" s="120"/>
      <c r="AR63" s="120"/>
      <c r="AS63" s="120"/>
      <c r="AT63" s="120"/>
      <c r="AU63" s="121"/>
      <c r="AV63" s="120"/>
      <c r="AW63" s="120"/>
      <c r="AX63" s="120"/>
      <c r="AY63" s="120"/>
      <c r="AZ63" s="120"/>
      <c r="BA63" s="120"/>
      <c r="BB63" s="121"/>
      <c r="BC63" s="120"/>
      <c r="BD63" s="120"/>
      <c r="BE63" s="120"/>
      <c r="BF63" s="120"/>
      <c r="BG63" s="120"/>
      <c r="BH63" s="120"/>
      <c r="BI63" s="120"/>
      <c r="BJ63" s="120"/>
      <c r="BK63" s="120"/>
      <c r="BL63" s="120"/>
      <c r="BM63" s="120"/>
      <c r="BN63" s="120"/>
      <c r="BO63" s="120"/>
      <c r="BP63" s="120"/>
      <c r="BQ63" s="120"/>
      <c r="BR63" s="120"/>
      <c r="BS63" s="120"/>
      <c r="BT63" s="120"/>
      <c r="BU63" s="120"/>
      <c r="BV63" s="120"/>
      <c r="BW63" s="120"/>
      <c r="BX63" s="120"/>
      <c r="BY63" s="120"/>
      <c r="BZ63" s="120"/>
      <c r="CA63" s="120"/>
      <c r="CB63" s="120"/>
      <c r="CC63" s="120"/>
      <c r="CD63" s="120"/>
      <c r="CE63" s="120"/>
      <c r="CF63" s="120"/>
      <c r="CG63" s="120"/>
      <c r="CH63" s="120"/>
      <c r="CI63" s="120"/>
      <c r="CJ63" s="120"/>
      <c r="CK63" s="120"/>
      <c r="CL63" s="120"/>
      <c r="CM63" s="120"/>
    </row>
    <row r="64" spans="1:91" ht="15" hidden="1" x14ac:dyDescent="0.2">
      <c r="A64" s="124" t="s">
        <v>140</v>
      </c>
      <c r="B64" s="120" t="s">
        <v>128</v>
      </c>
      <c r="C64" s="120"/>
      <c r="D64" s="120"/>
      <c r="E64" s="120"/>
      <c r="F64" s="120"/>
      <c r="G64" s="120"/>
      <c r="H64" s="120"/>
      <c r="I64" s="120" t="s">
        <v>128</v>
      </c>
      <c r="J64" s="120"/>
      <c r="K64" s="120"/>
      <c r="L64" s="120"/>
      <c r="M64" s="120"/>
      <c r="N64" s="120"/>
      <c r="O64" s="120"/>
      <c r="P64" s="120" t="s">
        <v>128</v>
      </c>
      <c r="Q64" s="120"/>
      <c r="R64" s="120"/>
      <c r="S64" s="120"/>
      <c r="T64" s="120"/>
      <c r="U64" s="120"/>
      <c r="V64" s="120"/>
      <c r="W64" s="120" t="s">
        <v>128</v>
      </c>
      <c r="X64" s="120"/>
      <c r="Y64" s="120"/>
      <c r="Z64" s="120"/>
      <c r="AA64" s="120"/>
      <c r="AB64" s="120"/>
      <c r="AC64" s="120"/>
      <c r="AD64" s="120" t="s">
        <v>128</v>
      </c>
      <c r="AE64" s="120"/>
      <c r="AF64" s="120"/>
      <c r="AG64" s="120"/>
      <c r="AH64" s="120"/>
      <c r="AI64" s="120"/>
      <c r="AJ64" s="120"/>
      <c r="AK64" s="120" t="s">
        <v>128</v>
      </c>
      <c r="AL64" s="120"/>
      <c r="AM64" s="120"/>
      <c r="AN64" s="121"/>
      <c r="AO64" s="120"/>
      <c r="AP64" s="120"/>
      <c r="AQ64" s="120"/>
      <c r="AR64" s="120" t="s">
        <v>128</v>
      </c>
      <c r="AS64" s="120"/>
      <c r="AT64" s="120"/>
      <c r="AU64" s="121"/>
      <c r="AV64" s="120"/>
      <c r="AW64" s="120"/>
      <c r="AX64" s="120"/>
      <c r="AY64" s="120" t="s">
        <v>128</v>
      </c>
      <c r="AZ64" s="120"/>
      <c r="BA64" s="120"/>
      <c r="BB64" s="121"/>
      <c r="BC64" s="120"/>
      <c r="BD64" s="120"/>
      <c r="BE64" s="120"/>
      <c r="BF64" s="120" t="s">
        <v>128</v>
      </c>
      <c r="BG64" s="120"/>
      <c r="BH64" s="120"/>
      <c r="BI64" s="120"/>
      <c r="BJ64" s="120"/>
      <c r="BK64" s="120"/>
      <c r="BL64" s="120"/>
      <c r="BM64" s="120" t="s">
        <v>128</v>
      </c>
      <c r="BN64" s="120"/>
      <c r="BO64" s="120"/>
      <c r="BP64" s="120"/>
      <c r="BQ64" s="120"/>
      <c r="BR64" s="120"/>
      <c r="BS64" s="120"/>
      <c r="BT64" s="120" t="s">
        <v>128</v>
      </c>
      <c r="BU64" s="120"/>
      <c r="BV64" s="120"/>
      <c r="BW64" s="120"/>
      <c r="BX64" s="120"/>
      <c r="BY64" s="120"/>
      <c r="BZ64" s="120"/>
      <c r="CA64" s="120" t="s">
        <v>128</v>
      </c>
      <c r="CB64" s="120"/>
      <c r="CC64" s="120"/>
      <c r="CD64" s="120"/>
      <c r="CE64" s="120"/>
      <c r="CF64" s="120"/>
      <c r="CG64" s="120"/>
      <c r="CH64" s="120"/>
      <c r="CI64" s="120"/>
      <c r="CJ64" s="120"/>
      <c r="CK64" s="120"/>
      <c r="CL64" s="120"/>
      <c r="CM64" s="120"/>
    </row>
    <row r="65" spans="1:91" hidden="1" x14ac:dyDescent="0.2">
      <c r="A65" s="120"/>
      <c r="B65" s="120">
        <f>COUNTIF($D$7:$D$8,"Skema 1")</f>
        <v>0</v>
      </c>
      <c r="C65" s="120"/>
      <c r="D65" s="120"/>
      <c r="E65" s="120"/>
      <c r="F65" s="120"/>
      <c r="G65" s="120"/>
      <c r="H65" s="120"/>
      <c r="I65" s="120">
        <f>COUNTIF($K$5,"Skema 1")</f>
        <v>0</v>
      </c>
      <c r="J65" s="120"/>
      <c r="K65" s="120"/>
      <c r="L65" s="120"/>
      <c r="M65" s="120"/>
      <c r="N65" s="120"/>
      <c r="O65" s="120"/>
      <c r="P65" s="120">
        <f>COUNTIF($R$9:$R$10,"Skema 1")</f>
        <v>0</v>
      </c>
      <c r="Q65" s="120"/>
      <c r="R65" s="120"/>
      <c r="S65" s="120"/>
      <c r="T65" s="120"/>
      <c r="U65" s="120"/>
      <c r="V65" s="120"/>
      <c r="W65" s="120">
        <f>COUNTIF($Y$6:$Y$7,"Skema 1")</f>
        <v>0</v>
      </c>
      <c r="X65" s="120"/>
      <c r="Y65" s="120"/>
      <c r="Z65" s="120"/>
      <c r="AA65" s="120"/>
      <c r="AB65" s="120"/>
      <c r="AC65" s="120"/>
      <c r="AD65" s="120">
        <f>COUNTIF($AF$5,"Skema 1")</f>
        <v>0</v>
      </c>
      <c r="AE65" s="120"/>
      <c r="AF65" s="120"/>
      <c r="AG65" s="120"/>
      <c r="AH65" s="120"/>
      <c r="AI65" s="120"/>
      <c r="AJ65" s="120"/>
      <c r="AK65" s="120">
        <f>COUNTIF($AM$8:$AM$9,"Skema 1")</f>
        <v>0</v>
      </c>
      <c r="AL65" s="120"/>
      <c r="AM65" s="120"/>
      <c r="AN65" s="121"/>
      <c r="AO65" s="120"/>
      <c r="AP65" s="120"/>
      <c r="AQ65" s="120"/>
      <c r="AR65" s="120">
        <f>COUNTIF($AT$5:$AT$6,"Skema 1")</f>
        <v>0</v>
      </c>
      <c r="AS65" s="120"/>
      <c r="AT65" s="120"/>
      <c r="AU65" s="121"/>
      <c r="AV65" s="120"/>
      <c r="AW65" s="120"/>
      <c r="AX65" s="120"/>
      <c r="AY65" s="120">
        <f>COUNTIF($BA$5:$BA$6,"Skema 1")</f>
        <v>0</v>
      </c>
      <c r="AZ65" s="120"/>
      <c r="BA65" s="120"/>
      <c r="BB65" s="121"/>
      <c r="BC65" s="120"/>
      <c r="BD65" s="120"/>
      <c r="BE65" s="120"/>
      <c r="BF65" s="120">
        <f>COUNTIF($BH$9:$BH$10,"Skema 1")</f>
        <v>0</v>
      </c>
      <c r="BG65" s="120"/>
      <c r="BH65" s="120"/>
      <c r="BI65" s="120"/>
      <c r="BJ65" s="120"/>
      <c r="BK65" s="120"/>
      <c r="BL65" s="120"/>
      <c r="BM65" s="120">
        <f>COUNTIF($BO$7:$BO$8,"Skema 1")</f>
        <v>0</v>
      </c>
      <c r="BN65" s="120"/>
      <c r="BO65" s="120"/>
      <c r="BP65" s="120"/>
      <c r="BQ65" s="120"/>
      <c r="BR65" s="120"/>
      <c r="BS65" s="120"/>
      <c r="BT65" s="120">
        <f>COUNTIF($BV$5,"Skema 1")</f>
        <v>0</v>
      </c>
      <c r="BU65" s="120"/>
      <c r="BV65" s="120"/>
      <c r="BW65" s="120"/>
      <c r="BX65" s="120"/>
      <c r="BY65" s="120"/>
      <c r="BZ65" s="120"/>
      <c r="CA65" s="120">
        <f>COUNTIF($CC$9:$CC$10,"Skema 1")</f>
        <v>0</v>
      </c>
      <c r="CB65" s="120"/>
      <c r="CC65" s="120"/>
      <c r="CD65" s="120"/>
      <c r="CE65" s="120"/>
      <c r="CF65" s="120"/>
      <c r="CG65" s="120"/>
      <c r="CH65" s="120"/>
      <c r="CI65" s="120">
        <f>SUM(A65:CH65)</f>
        <v>0</v>
      </c>
      <c r="CJ65" s="120"/>
      <c r="CK65" s="120"/>
      <c r="CL65" s="120"/>
      <c r="CM65" s="120"/>
    </row>
    <row r="66" spans="1:91" hidden="1" x14ac:dyDescent="0.2">
      <c r="A66" s="120"/>
      <c r="B66" s="120">
        <f>COUNTIF($D$14:$D$15,"Skema 1")</f>
        <v>0</v>
      </c>
      <c r="C66" s="120"/>
      <c r="D66" s="120"/>
      <c r="E66" s="120"/>
      <c r="F66" s="120"/>
      <c r="G66" s="120"/>
      <c r="H66" s="120"/>
      <c r="I66" s="120">
        <f>COUNTIF($K$11:$K$12,"Skema 1")</f>
        <v>0</v>
      </c>
      <c r="J66" s="120"/>
      <c r="K66" s="120"/>
      <c r="L66" s="120"/>
      <c r="M66" s="120"/>
      <c r="N66" s="120"/>
      <c r="O66" s="120"/>
      <c r="P66" s="120">
        <f>COUNTIF($R$16:$R$17,"Skema 1")</f>
        <v>0</v>
      </c>
      <c r="Q66" s="120"/>
      <c r="R66" s="120"/>
      <c r="S66" s="120"/>
      <c r="T66" s="120"/>
      <c r="U66" s="120"/>
      <c r="V66" s="120"/>
      <c r="W66" s="120">
        <f>COUNTIF($Y$13:$Y$14,"Skema 1")</f>
        <v>0</v>
      </c>
      <c r="X66" s="120"/>
      <c r="Y66" s="120"/>
      <c r="Z66" s="120"/>
      <c r="AA66" s="120"/>
      <c r="AB66" s="120"/>
      <c r="AC66" s="120"/>
      <c r="AD66" s="120">
        <f>COUNTIF($AF$11:$AF$12,"Skema 1")</f>
        <v>0</v>
      </c>
      <c r="AE66" s="120"/>
      <c r="AF66" s="120"/>
      <c r="AG66" s="120"/>
      <c r="AH66" s="120"/>
      <c r="AI66" s="120"/>
      <c r="AJ66" s="120"/>
      <c r="AK66" s="120">
        <f>COUNTIF($AM$15:$AM$16,"Skema 1")</f>
        <v>0</v>
      </c>
      <c r="AL66" s="120"/>
      <c r="AM66" s="120"/>
      <c r="AN66" s="121"/>
      <c r="AO66" s="120"/>
      <c r="AP66" s="120"/>
      <c r="AQ66" s="120"/>
      <c r="AR66" s="120">
        <f>COUNTIF($AT$12:$AT$13,"Skema 1")</f>
        <v>0</v>
      </c>
      <c r="AS66" s="120"/>
      <c r="AT66" s="120"/>
      <c r="AU66" s="121"/>
      <c r="AV66" s="120"/>
      <c r="AW66" s="120"/>
      <c r="AX66" s="120"/>
      <c r="AY66" s="120">
        <f>COUNTIF($BA$12:$BA$13,"Skema 1")</f>
        <v>0</v>
      </c>
      <c r="AZ66" s="120"/>
      <c r="BA66" s="120"/>
      <c r="BB66" s="121"/>
      <c r="BC66" s="120"/>
      <c r="BD66" s="120"/>
      <c r="BE66" s="120"/>
      <c r="BF66" s="120">
        <f>COUNTIF($BH$16:$BH$17,"Skema 1")</f>
        <v>0</v>
      </c>
      <c r="BG66" s="120"/>
      <c r="BH66" s="120"/>
      <c r="BI66" s="120"/>
      <c r="BJ66" s="120"/>
      <c r="BK66" s="120"/>
      <c r="BL66" s="120"/>
      <c r="BM66" s="120">
        <f>COUNTIF($BO$14:$BO$15,"Skema 1")</f>
        <v>0</v>
      </c>
      <c r="BN66" s="120"/>
      <c r="BO66" s="120"/>
      <c r="BP66" s="120"/>
      <c r="BQ66" s="120"/>
      <c r="BR66" s="120"/>
      <c r="BS66" s="120"/>
      <c r="BT66" s="120">
        <f>COUNTIF($BV$11:$BV$12,"Skema 1")</f>
        <v>0</v>
      </c>
      <c r="BU66" s="120"/>
      <c r="BV66" s="120"/>
      <c r="BW66" s="120"/>
      <c r="BX66" s="120"/>
      <c r="BY66" s="120"/>
      <c r="BZ66" s="120"/>
      <c r="CA66" s="120">
        <f>COUNTIF($CC$16:$CC$17,"Skema 1")</f>
        <v>0</v>
      </c>
      <c r="CB66" s="120"/>
      <c r="CC66" s="120"/>
      <c r="CD66" s="120"/>
      <c r="CE66" s="120"/>
      <c r="CF66" s="120"/>
      <c r="CG66" s="120"/>
      <c r="CH66" s="120"/>
      <c r="CI66" s="120">
        <f t="shared" ref="CI66:CI96" si="36">SUM(A66:CH66)</f>
        <v>0</v>
      </c>
      <c r="CJ66" s="120"/>
      <c r="CK66" s="120"/>
      <c r="CL66" s="120"/>
      <c r="CM66" s="120"/>
    </row>
    <row r="67" spans="1:91" hidden="1" x14ac:dyDescent="0.2">
      <c r="A67" s="120"/>
      <c r="B67" s="120">
        <f>COUNTIF($D$21:$D$22,"Skema 1")</f>
        <v>0</v>
      </c>
      <c r="C67" s="120"/>
      <c r="D67" s="120"/>
      <c r="E67" s="120"/>
      <c r="F67" s="120"/>
      <c r="G67" s="120"/>
      <c r="H67" s="120"/>
      <c r="I67" s="120">
        <f>COUNTIF($K$18:$K$19,"Skema 1")</f>
        <v>0</v>
      </c>
      <c r="J67" s="120"/>
      <c r="K67" s="120"/>
      <c r="L67" s="120"/>
      <c r="M67" s="120"/>
      <c r="N67" s="120"/>
      <c r="O67" s="120"/>
      <c r="P67" s="120">
        <f>COUNTIF($R$23:$R$24,"Skema 1")</f>
        <v>0</v>
      </c>
      <c r="Q67" s="120"/>
      <c r="R67" s="120"/>
      <c r="S67" s="120"/>
      <c r="T67" s="120"/>
      <c r="U67" s="120"/>
      <c r="V67" s="120"/>
      <c r="W67" s="120">
        <f>COUNTIF($Y$20:$Y$21,"Skema 1")</f>
        <v>0</v>
      </c>
      <c r="X67" s="120"/>
      <c r="Y67" s="120"/>
      <c r="Z67" s="120"/>
      <c r="AA67" s="120"/>
      <c r="AB67" s="120"/>
      <c r="AC67" s="120"/>
      <c r="AD67" s="120">
        <f>COUNTIF($AF$18:$AF$19,"Skema 1")</f>
        <v>0</v>
      </c>
      <c r="AE67" s="120"/>
      <c r="AF67" s="120"/>
      <c r="AG67" s="120"/>
      <c r="AH67" s="120"/>
      <c r="AI67" s="120"/>
      <c r="AJ67" s="120"/>
      <c r="AK67" s="120">
        <f>COUNTIF($AM$22:$AM$23,"Skema 1")</f>
        <v>0</v>
      </c>
      <c r="AL67" s="120"/>
      <c r="AM67" s="120"/>
      <c r="AN67" s="121"/>
      <c r="AO67" s="120"/>
      <c r="AP67" s="120"/>
      <c r="AQ67" s="120"/>
      <c r="AR67" s="120">
        <f>COUNTIF($AT$19:$AT$20,"Skema 1")</f>
        <v>0</v>
      </c>
      <c r="AS67" s="120"/>
      <c r="AT67" s="120"/>
      <c r="AU67" s="121"/>
      <c r="AV67" s="120"/>
      <c r="AW67" s="120"/>
      <c r="AX67" s="120"/>
      <c r="AY67" s="120">
        <f>COUNTIF($BA$19:$BA$20,"Skema 1")</f>
        <v>0</v>
      </c>
      <c r="AZ67" s="120"/>
      <c r="BA67" s="120"/>
      <c r="BB67" s="121"/>
      <c r="BC67" s="120"/>
      <c r="BD67" s="120"/>
      <c r="BE67" s="120"/>
      <c r="BF67" s="120">
        <f>COUNTIF($BH$23:$BH$24,"Skema 1")</f>
        <v>0</v>
      </c>
      <c r="BG67" s="120"/>
      <c r="BH67" s="120"/>
      <c r="BI67" s="120"/>
      <c r="BJ67" s="120"/>
      <c r="BK67" s="120"/>
      <c r="BL67" s="120"/>
      <c r="BM67" s="120">
        <f>COUNTIF($BO$21:$BO$22,"Skema 1")</f>
        <v>0</v>
      </c>
      <c r="BN67" s="120"/>
      <c r="BO67" s="120"/>
      <c r="BP67" s="120"/>
      <c r="BQ67" s="120"/>
      <c r="BR67" s="120"/>
      <c r="BS67" s="120"/>
      <c r="BT67" s="120">
        <f>COUNTIF($BV$18:$BV$19,"Skema 1")</f>
        <v>0</v>
      </c>
      <c r="BU67" s="120"/>
      <c r="BV67" s="120"/>
      <c r="BW67" s="120"/>
      <c r="BX67" s="120"/>
      <c r="BY67" s="120"/>
      <c r="BZ67" s="120"/>
      <c r="CA67" s="120">
        <f>COUNTIF($CC$23:$CC$24,"Skema 1")</f>
        <v>0</v>
      </c>
      <c r="CB67" s="120"/>
      <c r="CC67" s="120"/>
      <c r="CD67" s="120"/>
      <c r="CE67" s="120"/>
      <c r="CF67" s="120"/>
      <c r="CG67" s="120"/>
      <c r="CH67" s="120"/>
      <c r="CI67" s="120">
        <f t="shared" si="36"/>
        <v>0</v>
      </c>
      <c r="CJ67" s="120"/>
      <c r="CK67" s="120"/>
      <c r="CL67" s="120"/>
      <c r="CM67" s="120"/>
    </row>
    <row r="68" spans="1:91" hidden="1" x14ac:dyDescent="0.2">
      <c r="A68" s="120"/>
      <c r="B68" s="120">
        <f>COUNTIF($D$28:$D$29,"Skema 1")</f>
        <v>0</v>
      </c>
      <c r="C68" s="120"/>
      <c r="D68" s="120"/>
      <c r="E68" s="120"/>
      <c r="F68" s="120"/>
      <c r="G68" s="120"/>
      <c r="H68" s="120"/>
      <c r="I68" s="120">
        <f>COUNTIF($K$25:$K$26,"Skema 1")</f>
        <v>0</v>
      </c>
      <c r="J68" s="120"/>
      <c r="K68" s="120"/>
      <c r="L68" s="120"/>
      <c r="M68" s="120"/>
      <c r="N68" s="120"/>
      <c r="O68" s="120"/>
      <c r="P68" s="120">
        <f>COUNTIF($R$30:$R$31,"Skema 1")</f>
        <v>0</v>
      </c>
      <c r="Q68" s="120"/>
      <c r="R68" s="120"/>
      <c r="S68" s="120"/>
      <c r="T68" s="120"/>
      <c r="U68" s="120"/>
      <c r="V68" s="120"/>
      <c r="W68" s="120">
        <f>COUNTIF($Y$27:$Y$28,"Skema 1")</f>
        <v>0</v>
      </c>
      <c r="X68" s="120"/>
      <c r="Y68" s="120"/>
      <c r="Z68" s="120"/>
      <c r="AA68" s="120"/>
      <c r="AB68" s="120"/>
      <c r="AC68" s="120"/>
      <c r="AD68" s="120">
        <f>COUNTIF($AF$25:$AF$26,"Skema 1")</f>
        <v>0</v>
      </c>
      <c r="AE68" s="120"/>
      <c r="AF68" s="120"/>
      <c r="AG68" s="120"/>
      <c r="AH68" s="120"/>
      <c r="AI68" s="120"/>
      <c r="AJ68" s="120"/>
      <c r="AK68" s="120">
        <f>COUNTIF($AM$29:$AM$30,"Skema 1")</f>
        <v>0</v>
      </c>
      <c r="AL68" s="120"/>
      <c r="AM68" s="120"/>
      <c r="AN68" s="121"/>
      <c r="AO68" s="120"/>
      <c r="AP68" s="120"/>
      <c r="AQ68" s="120"/>
      <c r="AR68" s="120">
        <f>COUNTIF($AT$26:$AT$27,"Skema 1")</f>
        <v>0</v>
      </c>
      <c r="AS68" s="120"/>
      <c r="AT68" s="120"/>
      <c r="AU68" s="121"/>
      <c r="AV68" s="120"/>
      <c r="AW68" s="120"/>
      <c r="AX68" s="120"/>
      <c r="AY68" s="120">
        <f>COUNTIF($BA$26:$BA$27,"Skema 1")</f>
        <v>0</v>
      </c>
      <c r="AZ68" s="120"/>
      <c r="BA68" s="120"/>
      <c r="BB68" s="121"/>
      <c r="BC68" s="120"/>
      <c r="BD68" s="120"/>
      <c r="BE68" s="120"/>
      <c r="BF68" s="120">
        <f>COUNTIF($BH$30:$BH$31,"Skema 1")</f>
        <v>0</v>
      </c>
      <c r="BG68" s="120"/>
      <c r="BH68" s="120"/>
      <c r="BI68" s="120"/>
      <c r="BJ68" s="120"/>
      <c r="BK68" s="120"/>
      <c r="BL68" s="120"/>
      <c r="BM68" s="120">
        <f>COUNTIF($BO$28:$BO$29,"Skema 1")</f>
        <v>0</v>
      </c>
      <c r="BN68" s="120"/>
      <c r="BO68" s="120"/>
      <c r="BP68" s="120"/>
      <c r="BQ68" s="120"/>
      <c r="BR68" s="120"/>
      <c r="BS68" s="120"/>
      <c r="BT68" s="120">
        <f>COUNTIF($BV$25:$BV$26,"Skema 1")</f>
        <v>0</v>
      </c>
      <c r="BU68" s="120"/>
      <c r="BV68" s="120"/>
      <c r="BW68" s="120"/>
      <c r="BX68" s="120"/>
      <c r="BY68" s="120"/>
      <c r="BZ68" s="120"/>
      <c r="CA68" s="120">
        <f>COUNTIF($CC$30:$CC$31,"Skema 1")</f>
        <v>0</v>
      </c>
      <c r="CB68" s="120"/>
      <c r="CC68" s="120"/>
      <c r="CD68" s="120"/>
      <c r="CE68" s="120"/>
      <c r="CF68" s="120"/>
      <c r="CG68" s="120"/>
      <c r="CH68" s="120"/>
      <c r="CI68" s="120">
        <f t="shared" si="36"/>
        <v>0</v>
      </c>
      <c r="CJ68" s="120"/>
      <c r="CK68" s="120"/>
      <c r="CL68" s="120"/>
      <c r="CM68" s="120"/>
    </row>
    <row r="69" spans="1:91" hidden="1" x14ac:dyDescent="0.2">
      <c r="A69" s="120"/>
      <c r="B69" s="120">
        <f>COUNTIF($D$35,"Skema 1")</f>
        <v>0</v>
      </c>
      <c r="C69" s="120"/>
      <c r="D69" s="120"/>
      <c r="E69" s="120"/>
      <c r="F69" s="120"/>
      <c r="G69" s="120"/>
      <c r="H69" s="120"/>
      <c r="I69" s="120">
        <f>COUNTIF($K$32:$K$33,"Skema 1")</f>
        <v>0</v>
      </c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>
        <f>COUNTIF($Y$34,"Skema 1")</f>
        <v>0</v>
      </c>
      <c r="X69" s="120"/>
      <c r="Y69" s="120"/>
      <c r="Z69" s="120"/>
      <c r="AA69" s="120"/>
      <c r="AB69" s="120"/>
      <c r="AC69" s="120"/>
      <c r="AD69" s="120">
        <f>COUNTIF($AF$32:$AF$33,"Skema 1")</f>
        <v>0</v>
      </c>
      <c r="AE69" s="120"/>
      <c r="AF69" s="120"/>
      <c r="AG69" s="120"/>
      <c r="AH69" s="120"/>
      <c r="AI69" s="120"/>
      <c r="AJ69" s="120"/>
      <c r="AK69" s="120"/>
      <c r="AL69" s="120"/>
      <c r="AM69" s="120"/>
      <c r="AN69" s="121"/>
      <c r="AO69" s="120"/>
      <c r="AP69" s="120"/>
      <c r="AQ69" s="120"/>
      <c r="AR69" s="120"/>
      <c r="AS69" s="120"/>
      <c r="AT69" s="120"/>
      <c r="AU69" s="121"/>
      <c r="AV69" s="120"/>
      <c r="AW69" s="120"/>
      <c r="AX69" s="120"/>
      <c r="AY69" s="120">
        <f>COUNTIF($BA$33:$BA$34,"Skema 1")</f>
        <v>0</v>
      </c>
      <c r="AZ69" s="120"/>
      <c r="BA69" s="120"/>
      <c r="BB69" s="121"/>
      <c r="BC69" s="120"/>
      <c r="BD69" s="120"/>
      <c r="BE69" s="120"/>
      <c r="BF69" s="120"/>
      <c r="BG69" s="120"/>
      <c r="BH69" s="120"/>
      <c r="BI69" s="120"/>
      <c r="BJ69" s="120"/>
      <c r="BK69" s="120"/>
      <c r="BL69" s="120"/>
      <c r="BM69" s="120">
        <f>COUNTIF($BO$35,"Skema 1")</f>
        <v>0</v>
      </c>
      <c r="BN69" s="120"/>
      <c r="BO69" s="120"/>
      <c r="BP69" s="120"/>
      <c r="BQ69" s="120"/>
      <c r="BR69" s="120"/>
      <c r="BS69" s="120"/>
      <c r="BT69" s="120">
        <f>COUNTIF($BV$32:$BV$33,"Skema 1")</f>
        <v>0</v>
      </c>
      <c r="BU69" s="120"/>
      <c r="BV69" s="120"/>
      <c r="BW69" s="120"/>
      <c r="BX69" s="120"/>
      <c r="BY69" s="120"/>
      <c r="BZ69" s="120"/>
      <c r="CA69" s="120"/>
      <c r="CB69" s="120"/>
      <c r="CC69" s="120"/>
      <c r="CD69" s="120"/>
      <c r="CE69" s="120"/>
      <c r="CF69" s="120"/>
      <c r="CG69" s="120"/>
      <c r="CH69" s="120"/>
      <c r="CI69" s="120">
        <f t="shared" si="36"/>
        <v>0</v>
      </c>
      <c r="CJ69" s="120"/>
      <c r="CK69" s="120"/>
      <c r="CL69" s="120"/>
      <c r="CM69" s="120"/>
    </row>
    <row r="70" spans="1:91" hidden="1" x14ac:dyDescent="0.2">
      <c r="A70" s="120"/>
      <c r="B70" s="120" t="s">
        <v>129</v>
      </c>
      <c r="C70" s="120"/>
      <c r="D70" s="120"/>
      <c r="E70" s="120"/>
      <c r="F70" s="120"/>
      <c r="G70" s="120"/>
      <c r="H70" s="120"/>
      <c r="I70" s="120" t="s">
        <v>129</v>
      </c>
      <c r="J70" s="120"/>
      <c r="K70" s="120"/>
      <c r="L70" s="120"/>
      <c r="M70" s="120"/>
      <c r="N70" s="120"/>
      <c r="O70" s="120"/>
      <c r="P70" s="120" t="s">
        <v>129</v>
      </c>
      <c r="Q70" s="120"/>
      <c r="R70" s="120"/>
      <c r="S70" s="120"/>
      <c r="T70" s="120"/>
      <c r="U70" s="120"/>
      <c r="V70" s="120"/>
      <c r="W70" s="120" t="s">
        <v>129</v>
      </c>
      <c r="X70" s="120"/>
      <c r="Y70" s="120"/>
      <c r="Z70" s="120"/>
      <c r="AA70" s="120"/>
      <c r="AB70" s="120"/>
      <c r="AC70" s="120"/>
      <c r="AD70" s="120" t="s">
        <v>129</v>
      </c>
      <c r="AE70" s="120"/>
      <c r="AF70" s="120"/>
      <c r="AG70" s="120"/>
      <c r="AH70" s="120"/>
      <c r="AI70" s="120"/>
      <c r="AJ70" s="120"/>
      <c r="AK70" s="120" t="s">
        <v>129</v>
      </c>
      <c r="AL70" s="120"/>
      <c r="AM70" s="120"/>
      <c r="AN70" s="121"/>
      <c r="AO70" s="120"/>
      <c r="AP70" s="120"/>
      <c r="AQ70" s="120"/>
      <c r="AR70" s="120" t="s">
        <v>129</v>
      </c>
      <c r="AS70" s="120"/>
      <c r="AT70" s="120"/>
      <c r="AU70" s="121"/>
      <c r="AV70" s="120"/>
      <c r="AW70" s="120"/>
      <c r="AX70" s="120"/>
      <c r="AY70" s="120" t="s">
        <v>129</v>
      </c>
      <c r="AZ70" s="120"/>
      <c r="BA70" s="120"/>
      <c r="BB70" s="121"/>
      <c r="BC70" s="120"/>
      <c r="BD70" s="120"/>
      <c r="BE70" s="120"/>
      <c r="BF70" s="120" t="s">
        <v>129</v>
      </c>
      <c r="BG70" s="120"/>
      <c r="BH70" s="120"/>
      <c r="BI70" s="120"/>
      <c r="BJ70" s="120"/>
      <c r="BK70" s="120"/>
      <c r="BL70" s="120"/>
      <c r="BM70" s="120" t="s">
        <v>129</v>
      </c>
      <c r="BN70" s="120"/>
      <c r="BO70" s="120"/>
      <c r="BP70" s="120"/>
      <c r="BQ70" s="120"/>
      <c r="BR70" s="120"/>
      <c r="BS70" s="120"/>
      <c r="BT70" s="120" t="s">
        <v>129</v>
      </c>
      <c r="BU70" s="120"/>
      <c r="BV70" s="120"/>
      <c r="BW70" s="120"/>
      <c r="BX70" s="120"/>
      <c r="BY70" s="120"/>
      <c r="BZ70" s="120"/>
      <c r="CA70" s="120" t="s">
        <v>129</v>
      </c>
      <c r="CB70" s="120"/>
      <c r="CC70" s="120"/>
      <c r="CD70" s="120"/>
      <c r="CE70" s="120"/>
      <c r="CF70" s="120"/>
      <c r="CG70" s="120"/>
      <c r="CH70" s="120"/>
      <c r="CI70" s="120">
        <f t="shared" si="36"/>
        <v>0</v>
      </c>
      <c r="CJ70" s="120"/>
      <c r="CK70" s="120"/>
      <c r="CL70" s="120"/>
      <c r="CM70" s="120"/>
    </row>
    <row r="71" spans="1:91" hidden="1" x14ac:dyDescent="0.2">
      <c r="A71" s="120"/>
      <c r="B71" s="120">
        <f>COUNTIF($D$7:$D$8,"Skema 2")</f>
        <v>0</v>
      </c>
      <c r="C71" s="120"/>
      <c r="D71" s="120"/>
      <c r="E71" s="120"/>
      <c r="F71" s="120"/>
      <c r="G71" s="120"/>
      <c r="H71" s="120"/>
      <c r="I71" s="120">
        <f>COUNTIF($K$5,"Skema 2")</f>
        <v>0</v>
      </c>
      <c r="J71" s="120"/>
      <c r="K71" s="120"/>
      <c r="L71" s="120"/>
      <c r="M71" s="120"/>
      <c r="N71" s="120"/>
      <c r="O71" s="120"/>
      <c r="P71" s="120">
        <f>COUNTIF($R$9:$R$10,"Skema 2")</f>
        <v>0</v>
      </c>
      <c r="Q71" s="120"/>
      <c r="R71" s="120"/>
      <c r="S71" s="120"/>
      <c r="T71" s="120"/>
      <c r="U71" s="120"/>
      <c r="V71" s="120"/>
      <c r="W71" s="120">
        <f>COUNTIF($Y$6:$Y$7,"Skema 2")</f>
        <v>0</v>
      </c>
      <c r="X71" s="120"/>
      <c r="Y71" s="120"/>
      <c r="Z71" s="120"/>
      <c r="AA71" s="120"/>
      <c r="AB71" s="120"/>
      <c r="AC71" s="120"/>
      <c r="AD71" s="120">
        <f>COUNTIF($AF$5,"Skema 2")</f>
        <v>0</v>
      </c>
      <c r="AE71" s="120"/>
      <c r="AF71" s="120"/>
      <c r="AG71" s="120"/>
      <c r="AH71" s="120"/>
      <c r="AI71" s="120"/>
      <c r="AJ71" s="120"/>
      <c r="AK71" s="120">
        <f>COUNTIF($AM$8:$AM$9,"Skema 2")</f>
        <v>0</v>
      </c>
      <c r="AL71" s="120"/>
      <c r="AM71" s="120"/>
      <c r="AN71" s="121"/>
      <c r="AO71" s="120"/>
      <c r="AP71" s="120"/>
      <c r="AQ71" s="120"/>
      <c r="AR71" s="120">
        <f>COUNTIF($AT$5:$AT$6,"Skema 2")</f>
        <v>0</v>
      </c>
      <c r="AS71" s="120"/>
      <c r="AT71" s="120"/>
      <c r="AU71" s="121"/>
      <c r="AV71" s="120"/>
      <c r="AW71" s="120"/>
      <c r="AX71" s="120"/>
      <c r="AY71" s="120">
        <f>COUNTIF($BA$5:$BA$6,"Skema 2")</f>
        <v>0</v>
      </c>
      <c r="AZ71" s="120"/>
      <c r="BA71" s="120"/>
      <c r="BB71" s="121"/>
      <c r="BC71" s="120"/>
      <c r="BD71" s="120"/>
      <c r="BE71" s="120"/>
      <c r="BF71" s="120">
        <f>COUNTIF($BH$9:$BH$10,"Skema 2")</f>
        <v>0</v>
      </c>
      <c r="BG71" s="120"/>
      <c r="BH71" s="120"/>
      <c r="BI71" s="120"/>
      <c r="BJ71" s="120"/>
      <c r="BK71" s="120"/>
      <c r="BL71" s="120"/>
      <c r="BM71" s="120">
        <f>COUNTIF($BO$7:$BO$8,"Skema 2")</f>
        <v>0</v>
      </c>
      <c r="BN71" s="120"/>
      <c r="BO71" s="120"/>
      <c r="BP71" s="120"/>
      <c r="BQ71" s="120"/>
      <c r="BR71" s="120"/>
      <c r="BS71" s="120"/>
      <c r="BT71" s="120">
        <f>COUNTIF($BV$5,"Skema 2")</f>
        <v>0</v>
      </c>
      <c r="BU71" s="120"/>
      <c r="BV71" s="120"/>
      <c r="BW71" s="120"/>
      <c r="BX71" s="120"/>
      <c r="BY71" s="120"/>
      <c r="BZ71" s="120"/>
      <c r="CA71" s="120">
        <f>COUNTIF($CC$9:$CC$10,"Skema 2")</f>
        <v>0</v>
      </c>
      <c r="CB71" s="120"/>
      <c r="CC71" s="120"/>
      <c r="CD71" s="120"/>
      <c r="CE71" s="120"/>
      <c r="CF71" s="120"/>
      <c r="CG71" s="120"/>
      <c r="CH71" s="120"/>
      <c r="CI71" s="120">
        <f t="shared" si="36"/>
        <v>0</v>
      </c>
      <c r="CJ71" s="120"/>
      <c r="CK71" s="120"/>
      <c r="CL71" s="120"/>
      <c r="CM71" s="120"/>
    </row>
    <row r="72" spans="1:91" hidden="1" x14ac:dyDescent="0.2">
      <c r="A72" s="120"/>
      <c r="B72" s="120">
        <f>COUNTIF($D$14:$D$15,"Skema 2")</f>
        <v>0</v>
      </c>
      <c r="C72" s="120"/>
      <c r="D72" s="120"/>
      <c r="E72" s="120"/>
      <c r="F72" s="120"/>
      <c r="G72" s="120"/>
      <c r="H72" s="120"/>
      <c r="I72" s="120">
        <f>COUNTIF($K$11:$K$12,"Skema 2")</f>
        <v>0</v>
      </c>
      <c r="J72" s="120"/>
      <c r="K72" s="120"/>
      <c r="L72" s="120"/>
      <c r="M72" s="120"/>
      <c r="N72" s="120"/>
      <c r="O72" s="120"/>
      <c r="P72" s="120">
        <f>COUNTIF($R$16:$R$17,"Skema 2")</f>
        <v>0</v>
      </c>
      <c r="Q72" s="120"/>
      <c r="R72" s="120"/>
      <c r="S72" s="120"/>
      <c r="T72" s="120"/>
      <c r="U72" s="120"/>
      <c r="V72" s="120"/>
      <c r="W72" s="120">
        <f>COUNTIF($Y$13:$Y$14,"Skema 2")</f>
        <v>0</v>
      </c>
      <c r="X72" s="120"/>
      <c r="Y72" s="120"/>
      <c r="Z72" s="120"/>
      <c r="AA72" s="120"/>
      <c r="AB72" s="120"/>
      <c r="AC72" s="120"/>
      <c r="AD72" s="120">
        <f>COUNTIF($AF$11:$AF$12,"Skema 2")</f>
        <v>0</v>
      </c>
      <c r="AE72" s="120"/>
      <c r="AF72" s="120"/>
      <c r="AG72" s="120"/>
      <c r="AH72" s="120"/>
      <c r="AI72" s="120"/>
      <c r="AJ72" s="120"/>
      <c r="AK72" s="120">
        <f>COUNTIF($AM$15:$AM$16,"Skema 2")</f>
        <v>0</v>
      </c>
      <c r="AL72" s="120"/>
      <c r="AM72" s="120"/>
      <c r="AN72" s="121"/>
      <c r="AO72" s="120"/>
      <c r="AP72" s="120"/>
      <c r="AQ72" s="120"/>
      <c r="AR72" s="120">
        <f>COUNTIF($AT$12:$AT$13,"Skema 2")</f>
        <v>0</v>
      </c>
      <c r="AS72" s="120"/>
      <c r="AT72" s="120"/>
      <c r="AU72" s="121"/>
      <c r="AV72" s="120"/>
      <c r="AW72" s="120"/>
      <c r="AX72" s="120"/>
      <c r="AY72" s="120">
        <f>COUNTIF($BA$12:$BA$13,"Skema 2")</f>
        <v>0</v>
      </c>
      <c r="AZ72" s="120"/>
      <c r="BA72" s="120"/>
      <c r="BB72" s="121"/>
      <c r="BC72" s="120"/>
      <c r="BD72" s="120"/>
      <c r="BE72" s="120"/>
      <c r="BF72" s="120">
        <f>COUNTIF($BH$16:$BH$17,"Skema 2")</f>
        <v>0</v>
      </c>
      <c r="BG72" s="120"/>
      <c r="BH72" s="120"/>
      <c r="BI72" s="120"/>
      <c r="BJ72" s="120"/>
      <c r="BK72" s="120"/>
      <c r="BL72" s="120"/>
      <c r="BM72" s="120">
        <f>COUNTIF($BO$14:$BO$15,"Skema 2")</f>
        <v>0</v>
      </c>
      <c r="BN72" s="120"/>
      <c r="BO72" s="120"/>
      <c r="BP72" s="120"/>
      <c r="BQ72" s="120"/>
      <c r="BR72" s="120"/>
      <c r="BS72" s="120"/>
      <c r="BT72" s="120">
        <f>COUNTIF($BV$11:$BV$12,"Skema 2")</f>
        <v>0</v>
      </c>
      <c r="BU72" s="120"/>
      <c r="BV72" s="120"/>
      <c r="BW72" s="120"/>
      <c r="BX72" s="120"/>
      <c r="BY72" s="120"/>
      <c r="BZ72" s="120"/>
      <c r="CA72" s="120">
        <f>COUNTIF($CC$16:$CC$17,"Skema 2")</f>
        <v>0</v>
      </c>
      <c r="CB72" s="120"/>
      <c r="CC72" s="120"/>
      <c r="CD72" s="120"/>
      <c r="CE72" s="120"/>
      <c r="CF72" s="120"/>
      <c r="CG72" s="120"/>
      <c r="CH72" s="120"/>
      <c r="CI72" s="120">
        <f t="shared" si="36"/>
        <v>0</v>
      </c>
      <c r="CJ72" s="120"/>
      <c r="CK72" s="120"/>
      <c r="CL72" s="120"/>
      <c r="CM72" s="120"/>
    </row>
    <row r="73" spans="1:91" hidden="1" x14ac:dyDescent="0.2">
      <c r="A73" s="120"/>
      <c r="B73" s="120">
        <f>COUNTIF($D$21:$D$22,"Skema 2")</f>
        <v>0</v>
      </c>
      <c r="C73" s="120"/>
      <c r="D73" s="120"/>
      <c r="E73" s="120"/>
      <c r="F73" s="120"/>
      <c r="G73" s="120"/>
      <c r="H73" s="120"/>
      <c r="I73" s="120">
        <f>COUNTIF($K$18:$K$19,"Skema 2")</f>
        <v>0</v>
      </c>
      <c r="J73" s="120"/>
      <c r="K73" s="120"/>
      <c r="L73" s="120"/>
      <c r="M73" s="120"/>
      <c r="N73" s="120"/>
      <c r="O73" s="120"/>
      <c r="P73" s="120">
        <f>COUNTIF($R$23:$R$24,"Skema 2")</f>
        <v>0</v>
      </c>
      <c r="Q73" s="120"/>
      <c r="R73" s="120"/>
      <c r="S73" s="120"/>
      <c r="T73" s="120"/>
      <c r="U73" s="120"/>
      <c r="V73" s="120"/>
      <c r="W73" s="120">
        <f>COUNTIF($Y$20:$Y$21,"Skema 2")</f>
        <v>0</v>
      </c>
      <c r="X73" s="120"/>
      <c r="Y73" s="120"/>
      <c r="Z73" s="120"/>
      <c r="AA73" s="120"/>
      <c r="AB73" s="120"/>
      <c r="AC73" s="120"/>
      <c r="AD73" s="120">
        <f>COUNTIF($AF$18:$AF$19,"Skema 2")</f>
        <v>0</v>
      </c>
      <c r="AE73" s="120"/>
      <c r="AF73" s="120"/>
      <c r="AG73" s="120"/>
      <c r="AH73" s="120"/>
      <c r="AI73" s="120"/>
      <c r="AJ73" s="120"/>
      <c r="AK73" s="120">
        <f>COUNTIF($AM$22:$AM$23,"Skema 2")</f>
        <v>0</v>
      </c>
      <c r="AL73" s="120"/>
      <c r="AM73" s="120"/>
      <c r="AN73" s="121"/>
      <c r="AO73" s="120"/>
      <c r="AP73" s="120"/>
      <c r="AQ73" s="120"/>
      <c r="AR73" s="120">
        <f>COUNTIF($AT$19:$AT$20,"Skema 2")</f>
        <v>0</v>
      </c>
      <c r="AS73" s="120"/>
      <c r="AT73" s="120"/>
      <c r="AU73" s="121"/>
      <c r="AV73" s="120"/>
      <c r="AW73" s="120"/>
      <c r="AX73" s="120"/>
      <c r="AY73" s="120">
        <f>COUNTIF($BA$19:$BA$20,"Skema 2")</f>
        <v>0</v>
      </c>
      <c r="AZ73" s="120"/>
      <c r="BA73" s="120"/>
      <c r="BB73" s="121"/>
      <c r="BC73" s="120"/>
      <c r="BD73" s="120"/>
      <c r="BE73" s="120"/>
      <c r="BF73" s="120">
        <f>COUNTIF($BH$23:$BH$24,"Skema 2")</f>
        <v>0</v>
      </c>
      <c r="BG73" s="120"/>
      <c r="BH73" s="120"/>
      <c r="BI73" s="120"/>
      <c r="BJ73" s="120"/>
      <c r="BK73" s="120"/>
      <c r="BL73" s="120"/>
      <c r="BM73" s="120">
        <f>COUNTIF($BO$21:$BO$22,"Skema 2")</f>
        <v>0</v>
      </c>
      <c r="BN73" s="120"/>
      <c r="BO73" s="120"/>
      <c r="BP73" s="120"/>
      <c r="BQ73" s="120"/>
      <c r="BR73" s="120"/>
      <c r="BS73" s="120"/>
      <c r="BT73" s="120">
        <f>COUNTIF($BV$18:$BV$19,"Skema 2")</f>
        <v>0</v>
      </c>
      <c r="BU73" s="120"/>
      <c r="BV73" s="120"/>
      <c r="BW73" s="120"/>
      <c r="BX73" s="120"/>
      <c r="BY73" s="120"/>
      <c r="BZ73" s="120"/>
      <c r="CA73" s="120">
        <f>COUNTIF($CC$23:$CC$24,"Skema 2")</f>
        <v>0</v>
      </c>
      <c r="CB73" s="120"/>
      <c r="CC73" s="120"/>
      <c r="CD73" s="120"/>
      <c r="CE73" s="120"/>
      <c r="CF73" s="120"/>
      <c r="CG73" s="120"/>
      <c r="CH73" s="120"/>
      <c r="CI73" s="120">
        <f t="shared" si="36"/>
        <v>0</v>
      </c>
      <c r="CJ73" s="120"/>
      <c r="CK73" s="120"/>
      <c r="CL73" s="120"/>
      <c r="CM73" s="120"/>
    </row>
    <row r="74" spans="1:91" hidden="1" x14ac:dyDescent="0.2">
      <c r="A74" s="120"/>
      <c r="B74" s="120">
        <f>COUNTIF($D$28:$D$29,"Skema 2")</f>
        <v>0</v>
      </c>
      <c r="C74" s="120"/>
      <c r="D74" s="120"/>
      <c r="E74" s="120"/>
      <c r="F74" s="120"/>
      <c r="G74" s="120"/>
      <c r="H74" s="120"/>
      <c r="I74" s="120">
        <f>COUNTIF($K$25:$K$26,"Skema 2")</f>
        <v>0</v>
      </c>
      <c r="J74" s="120"/>
      <c r="K74" s="120"/>
      <c r="L74" s="120"/>
      <c r="M74" s="120"/>
      <c r="N74" s="120"/>
      <c r="O74" s="120"/>
      <c r="P74" s="120">
        <f>COUNTIF($R$30:$R$31,"Skema 2")</f>
        <v>0</v>
      </c>
      <c r="Q74" s="120"/>
      <c r="R74" s="120"/>
      <c r="S74" s="120"/>
      <c r="T74" s="120"/>
      <c r="U74" s="120"/>
      <c r="V74" s="120"/>
      <c r="W74" s="120">
        <f>COUNTIF($Y$27:$Y$28,"Skema 2")</f>
        <v>0</v>
      </c>
      <c r="X74" s="120"/>
      <c r="Y74" s="120"/>
      <c r="Z74" s="120"/>
      <c r="AA74" s="120"/>
      <c r="AB74" s="120"/>
      <c r="AC74" s="120"/>
      <c r="AD74" s="120">
        <f>COUNTIF($AF$25:$AF$26,"Skema 2")</f>
        <v>0</v>
      </c>
      <c r="AE74" s="120"/>
      <c r="AF74" s="120"/>
      <c r="AG74" s="120"/>
      <c r="AH74" s="120"/>
      <c r="AI74" s="120"/>
      <c r="AJ74" s="120"/>
      <c r="AK74" s="120">
        <f>COUNTIF($AM$29:$AM$30,"Skema 2")</f>
        <v>0</v>
      </c>
      <c r="AL74" s="120"/>
      <c r="AM74" s="120"/>
      <c r="AN74" s="121"/>
      <c r="AO74" s="120"/>
      <c r="AP74" s="120"/>
      <c r="AQ74" s="120"/>
      <c r="AR74" s="120">
        <f>COUNTIF($AT$26:$AT$27,"Skema 2")</f>
        <v>0</v>
      </c>
      <c r="AS74" s="120"/>
      <c r="AT74" s="120"/>
      <c r="AU74" s="121"/>
      <c r="AV74" s="120"/>
      <c r="AW74" s="120"/>
      <c r="AX74" s="120"/>
      <c r="AY74" s="120">
        <f>COUNTIF($BA$26:$BA$27,"Skema 2")</f>
        <v>0</v>
      </c>
      <c r="AZ74" s="120"/>
      <c r="BA74" s="120"/>
      <c r="BB74" s="121"/>
      <c r="BC74" s="120"/>
      <c r="BD74" s="120"/>
      <c r="BE74" s="120"/>
      <c r="BF74" s="120">
        <f>COUNTIF($BH$30:$BH$31,"Skema 2")</f>
        <v>0</v>
      </c>
      <c r="BG74" s="120"/>
      <c r="BH74" s="120"/>
      <c r="BI74" s="120"/>
      <c r="BJ74" s="120"/>
      <c r="BK74" s="120"/>
      <c r="BL74" s="120"/>
      <c r="BM74" s="120">
        <f>COUNTIF($BO$28:$BO$29,"Skema 2")</f>
        <v>0</v>
      </c>
      <c r="BN74" s="120"/>
      <c r="BO74" s="120"/>
      <c r="BP74" s="120"/>
      <c r="BQ74" s="120"/>
      <c r="BR74" s="120"/>
      <c r="BS74" s="120"/>
      <c r="BT74" s="120">
        <f>COUNTIF($BV$25:$BV$26,"Skema 2")</f>
        <v>0</v>
      </c>
      <c r="BU74" s="120"/>
      <c r="BV74" s="120"/>
      <c r="BW74" s="120"/>
      <c r="BX74" s="120"/>
      <c r="BY74" s="120"/>
      <c r="BZ74" s="120"/>
      <c r="CA74" s="120">
        <f>COUNTIF($CC$30:$CC$31,"Skema 2")</f>
        <v>0</v>
      </c>
      <c r="CB74" s="120"/>
      <c r="CC74" s="120"/>
      <c r="CD74" s="120"/>
      <c r="CE74" s="120"/>
      <c r="CF74" s="120"/>
      <c r="CG74" s="120"/>
      <c r="CH74" s="120"/>
      <c r="CI74" s="120">
        <f t="shared" si="36"/>
        <v>0</v>
      </c>
      <c r="CJ74" s="120"/>
      <c r="CK74" s="120"/>
      <c r="CL74" s="120"/>
      <c r="CM74" s="120"/>
    </row>
    <row r="75" spans="1:91" hidden="1" x14ac:dyDescent="0.2">
      <c r="A75" s="120"/>
      <c r="B75" s="120">
        <f>COUNTIF($D$35,"Skema 2")</f>
        <v>0</v>
      </c>
      <c r="C75" s="120"/>
      <c r="D75" s="120"/>
      <c r="E75" s="120"/>
      <c r="F75" s="120"/>
      <c r="G75" s="120"/>
      <c r="H75" s="120"/>
      <c r="I75" s="120">
        <f>COUNTIF($K$32:$K$33,"Skema 2")</f>
        <v>0</v>
      </c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120"/>
      <c r="W75" s="120">
        <f>COUNTIF($Y$34,"Skema 2")</f>
        <v>0</v>
      </c>
      <c r="X75" s="120"/>
      <c r="Y75" s="120"/>
      <c r="Z75" s="120"/>
      <c r="AA75" s="120"/>
      <c r="AB75" s="120"/>
      <c r="AC75" s="120"/>
      <c r="AD75" s="120">
        <f>COUNTIF($AF$32:$AF$33,"Skema 2")</f>
        <v>0</v>
      </c>
      <c r="AE75" s="120"/>
      <c r="AF75" s="120"/>
      <c r="AG75" s="120"/>
      <c r="AH75" s="120"/>
      <c r="AI75" s="120"/>
      <c r="AJ75" s="120"/>
      <c r="AK75" s="120"/>
      <c r="AL75" s="120"/>
      <c r="AM75" s="120"/>
      <c r="AN75" s="121"/>
      <c r="AO75" s="120"/>
      <c r="AP75" s="120"/>
      <c r="AQ75" s="120"/>
      <c r="AR75" s="120"/>
      <c r="AS75" s="120"/>
      <c r="AT75" s="120"/>
      <c r="AU75" s="121"/>
      <c r="AV75" s="120"/>
      <c r="AW75" s="120"/>
      <c r="AX75" s="120"/>
      <c r="AY75" s="120">
        <f>COUNTIF($BA$33:$BA$34,"Skema 2")</f>
        <v>0</v>
      </c>
      <c r="AZ75" s="120"/>
      <c r="BA75" s="120"/>
      <c r="BB75" s="121"/>
      <c r="BC75" s="120"/>
      <c r="BD75" s="120"/>
      <c r="BE75" s="120"/>
      <c r="BF75" s="120"/>
      <c r="BG75" s="120"/>
      <c r="BH75" s="120"/>
      <c r="BI75" s="120"/>
      <c r="BJ75" s="120"/>
      <c r="BK75" s="120"/>
      <c r="BL75" s="120"/>
      <c r="BM75" s="120">
        <f>COUNTIF($BO$35,"Skema 2")</f>
        <v>0</v>
      </c>
      <c r="BN75" s="120"/>
      <c r="BO75" s="120"/>
      <c r="BP75" s="120"/>
      <c r="BQ75" s="120"/>
      <c r="BR75" s="120"/>
      <c r="BS75" s="120"/>
      <c r="BT75" s="120">
        <f>COUNTIF($BV$32:$BV$33,"Skema 2")</f>
        <v>0</v>
      </c>
      <c r="BU75" s="120"/>
      <c r="BV75" s="120"/>
      <c r="BW75" s="120"/>
      <c r="BX75" s="120"/>
      <c r="BY75" s="120"/>
      <c r="BZ75" s="120"/>
      <c r="CA75" s="120"/>
      <c r="CB75" s="120"/>
      <c r="CC75" s="120"/>
      <c r="CD75" s="120"/>
      <c r="CE75" s="120"/>
      <c r="CF75" s="120"/>
      <c r="CG75" s="120"/>
      <c r="CH75" s="120"/>
      <c r="CI75" s="120">
        <f t="shared" si="36"/>
        <v>0</v>
      </c>
      <c r="CJ75" s="120"/>
      <c r="CK75" s="120"/>
      <c r="CL75" s="120"/>
      <c r="CM75" s="120"/>
    </row>
    <row r="76" spans="1:91" hidden="1" x14ac:dyDescent="0.2">
      <c r="A76" s="120"/>
      <c r="B76" s="120" t="s">
        <v>130</v>
      </c>
      <c r="C76" s="120"/>
      <c r="D76" s="120"/>
      <c r="E76" s="120"/>
      <c r="F76" s="120"/>
      <c r="G76" s="120"/>
      <c r="H76" s="120"/>
      <c r="I76" s="120" t="s">
        <v>130</v>
      </c>
      <c r="J76" s="120"/>
      <c r="K76" s="120"/>
      <c r="L76" s="120"/>
      <c r="M76" s="120"/>
      <c r="N76" s="120"/>
      <c r="O76" s="120"/>
      <c r="P76" s="120" t="s">
        <v>130</v>
      </c>
      <c r="Q76" s="120"/>
      <c r="R76" s="120"/>
      <c r="S76" s="120"/>
      <c r="T76" s="120"/>
      <c r="U76" s="120"/>
      <c r="V76" s="120"/>
      <c r="W76" s="120" t="s">
        <v>130</v>
      </c>
      <c r="X76" s="120"/>
      <c r="Y76" s="120"/>
      <c r="Z76" s="120"/>
      <c r="AA76" s="120"/>
      <c r="AB76" s="120"/>
      <c r="AC76" s="120"/>
      <c r="AD76" s="120" t="s">
        <v>130</v>
      </c>
      <c r="AE76" s="120"/>
      <c r="AF76" s="120"/>
      <c r="AG76" s="120"/>
      <c r="AH76" s="120"/>
      <c r="AI76" s="120"/>
      <c r="AJ76" s="120"/>
      <c r="AK76" s="120" t="s">
        <v>130</v>
      </c>
      <c r="AL76" s="120"/>
      <c r="AM76" s="120"/>
      <c r="AN76" s="121"/>
      <c r="AO76" s="120"/>
      <c r="AP76" s="120"/>
      <c r="AQ76" s="120"/>
      <c r="AR76" s="120" t="s">
        <v>130</v>
      </c>
      <c r="AS76" s="120"/>
      <c r="AT76" s="120"/>
      <c r="AU76" s="121"/>
      <c r="AV76" s="120"/>
      <c r="AW76" s="120"/>
      <c r="AX76" s="120"/>
      <c r="AY76" s="120" t="s">
        <v>130</v>
      </c>
      <c r="AZ76" s="120"/>
      <c r="BA76" s="120"/>
      <c r="BB76" s="121"/>
      <c r="BC76" s="120"/>
      <c r="BD76" s="120"/>
      <c r="BE76" s="120"/>
      <c r="BF76" s="120" t="s">
        <v>130</v>
      </c>
      <c r="BG76" s="120"/>
      <c r="BH76" s="120"/>
      <c r="BI76" s="120"/>
      <c r="BJ76" s="120"/>
      <c r="BK76" s="120"/>
      <c r="BL76" s="120"/>
      <c r="BM76" s="120" t="s">
        <v>130</v>
      </c>
      <c r="BN76" s="120"/>
      <c r="BO76" s="120"/>
      <c r="BP76" s="120"/>
      <c r="BQ76" s="120"/>
      <c r="BR76" s="120"/>
      <c r="BS76" s="120"/>
      <c r="BT76" s="120" t="s">
        <v>130</v>
      </c>
      <c r="BU76" s="120"/>
      <c r="BV76" s="120"/>
      <c r="BW76" s="120"/>
      <c r="BX76" s="120"/>
      <c r="BY76" s="120"/>
      <c r="BZ76" s="120"/>
      <c r="CA76" s="120" t="s">
        <v>130</v>
      </c>
      <c r="CB76" s="120"/>
      <c r="CC76" s="120"/>
      <c r="CD76" s="120"/>
      <c r="CE76" s="120"/>
      <c r="CF76" s="120"/>
      <c r="CG76" s="120"/>
      <c r="CH76" s="120"/>
      <c r="CI76" s="120">
        <f t="shared" si="36"/>
        <v>0</v>
      </c>
      <c r="CJ76" s="120"/>
      <c r="CK76" s="120"/>
      <c r="CL76" s="120"/>
      <c r="CM76" s="120"/>
    </row>
    <row r="77" spans="1:91" hidden="1" x14ac:dyDescent="0.2">
      <c r="A77" s="120"/>
      <c r="B77" s="120">
        <f>COUNTIF($D$7:$D$8,"Skema 3")</f>
        <v>0</v>
      </c>
      <c r="C77" s="120"/>
      <c r="D77" s="120"/>
      <c r="E77" s="120"/>
      <c r="F77" s="120"/>
      <c r="G77" s="120"/>
      <c r="H77" s="120"/>
      <c r="I77" s="120">
        <f>COUNTIF($K$5,"Skema 3")</f>
        <v>0</v>
      </c>
      <c r="J77" s="120"/>
      <c r="K77" s="120"/>
      <c r="L77" s="120"/>
      <c r="M77" s="120"/>
      <c r="N77" s="120"/>
      <c r="O77" s="120"/>
      <c r="P77" s="120">
        <f>COUNTIF($R$9:$R$10,"Skema 3")</f>
        <v>0</v>
      </c>
      <c r="Q77" s="120"/>
      <c r="R77" s="120"/>
      <c r="S77" s="120"/>
      <c r="T77" s="120"/>
      <c r="U77" s="120"/>
      <c r="V77" s="120"/>
      <c r="W77" s="120">
        <f>COUNTIF($Y$6:$Y$7,"Skema 3")</f>
        <v>0</v>
      </c>
      <c r="X77" s="120"/>
      <c r="Y77" s="120"/>
      <c r="Z77" s="120"/>
      <c r="AA77" s="120"/>
      <c r="AB77" s="120"/>
      <c r="AC77" s="120"/>
      <c r="AD77" s="120">
        <f>COUNTIF($AF$5,"Skema 3")</f>
        <v>0</v>
      </c>
      <c r="AE77" s="120"/>
      <c r="AF77" s="120"/>
      <c r="AG77" s="120"/>
      <c r="AH77" s="120"/>
      <c r="AI77" s="120"/>
      <c r="AJ77" s="120"/>
      <c r="AK77" s="120">
        <f>COUNTIF($AM$8:$AM$9,"Skema 3")</f>
        <v>0</v>
      </c>
      <c r="AL77" s="120"/>
      <c r="AM77" s="120"/>
      <c r="AN77" s="121"/>
      <c r="AO77" s="120"/>
      <c r="AP77" s="120"/>
      <c r="AQ77" s="120"/>
      <c r="AR77" s="120">
        <f>COUNTIF($AT$5:$AT$6,"Skema 3")</f>
        <v>0</v>
      </c>
      <c r="AS77" s="120"/>
      <c r="AT77" s="120"/>
      <c r="AU77" s="121"/>
      <c r="AV77" s="120"/>
      <c r="AW77" s="120"/>
      <c r="AX77" s="120"/>
      <c r="AY77" s="120">
        <f>COUNTIF($BA$5:$BA$6,"Skema 3")</f>
        <v>0</v>
      </c>
      <c r="AZ77" s="120"/>
      <c r="BA77" s="120"/>
      <c r="BB77" s="121"/>
      <c r="BC77" s="120"/>
      <c r="BD77" s="120"/>
      <c r="BE77" s="120"/>
      <c r="BF77" s="120">
        <f>COUNTIF($BH$9:$BH$10,"Skema 3")</f>
        <v>0</v>
      </c>
      <c r="BG77" s="120"/>
      <c r="BH77" s="120"/>
      <c r="BI77" s="120"/>
      <c r="BJ77" s="120"/>
      <c r="BK77" s="120"/>
      <c r="BL77" s="120"/>
      <c r="BM77" s="120">
        <f>COUNTIF($BO$7:$BO$8,"Skema 3")</f>
        <v>0</v>
      </c>
      <c r="BN77" s="120"/>
      <c r="BO77" s="120"/>
      <c r="BP77" s="120"/>
      <c r="BQ77" s="120"/>
      <c r="BR77" s="120"/>
      <c r="BS77" s="120"/>
      <c r="BT77" s="120">
        <f>COUNTIF($BV$5,"Skema 3")</f>
        <v>0</v>
      </c>
      <c r="BU77" s="120"/>
      <c r="BV77" s="120"/>
      <c r="BW77" s="120"/>
      <c r="BX77" s="120"/>
      <c r="BY77" s="120"/>
      <c r="BZ77" s="120"/>
      <c r="CA77" s="120">
        <f>COUNTIF($CC$9:$CC$10,"Skema 3")</f>
        <v>0</v>
      </c>
      <c r="CB77" s="120"/>
      <c r="CC77" s="120"/>
      <c r="CD77" s="120"/>
      <c r="CE77" s="120"/>
      <c r="CF77" s="120"/>
      <c r="CG77" s="120"/>
      <c r="CH77" s="120"/>
      <c r="CI77" s="120">
        <f t="shared" si="36"/>
        <v>0</v>
      </c>
      <c r="CJ77" s="120"/>
      <c r="CK77" s="120"/>
      <c r="CL77" s="120"/>
      <c r="CM77" s="120"/>
    </row>
    <row r="78" spans="1:91" hidden="1" x14ac:dyDescent="0.2">
      <c r="A78" s="120"/>
      <c r="B78" s="120">
        <f>COUNTIF($D$14:$D$15,"Skema 3")</f>
        <v>0</v>
      </c>
      <c r="C78" s="120"/>
      <c r="D78" s="120"/>
      <c r="E78" s="120"/>
      <c r="F78" s="120"/>
      <c r="G78" s="120"/>
      <c r="H78" s="120"/>
      <c r="I78" s="120">
        <f>COUNTIF($K$11:$K$12,"Skema 3")</f>
        <v>0</v>
      </c>
      <c r="J78" s="120"/>
      <c r="K78" s="120"/>
      <c r="L78" s="120"/>
      <c r="M78" s="120"/>
      <c r="N78" s="120"/>
      <c r="O78" s="120"/>
      <c r="P78" s="120">
        <f>COUNTIF($R$16:$R$17,"Skema 3")</f>
        <v>0</v>
      </c>
      <c r="Q78" s="120"/>
      <c r="R78" s="120"/>
      <c r="S78" s="120"/>
      <c r="T78" s="120"/>
      <c r="U78" s="120"/>
      <c r="V78" s="120"/>
      <c r="W78" s="120">
        <f>COUNTIF($Y$13:$Y$14,"Skema 3")</f>
        <v>0</v>
      </c>
      <c r="X78" s="120"/>
      <c r="Y78" s="120"/>
      <c r="Z78" s="120"/>
      <c r="AA78" s="120"/>
      <c r="AB78" s="120"/>
      <c r="AC78" s="120"/>
      <c r="AD78" s="120">
        <f>COUNTIF($AF$11:$AF$12,"Skema 3")</f>
        <v>0</v>
      </c>
      <c r="AE78" s="120"/>
      <c r="AF78" s="120"/>
      <c r="AG78" s="120"/>
      <c r="AH78" s="120"/>
      <c r="AI78" s="120"/>
      <c r="AJ78" s="120"/>
      <c r="AK78" s="120">
        <f>COUNTIF($AM$15:$AM$16,"Skema 3")</f>
        <v>0</v>
      </c>
      <c r="AL78" s="120"/>
      <c r="AM78" s="120"/>
      <c r="AN78" s="121"/>
      <c r="AO78" s="120"/>
      <c r="AP78" s="120"/>
      <c r="AQ78" s="120"/>
      <c r="AR78" s="120">
        <f>COUNTIF($AT$12:$AT$13,"Skema 3")</f>
        <v>0</v>
      </c>
      <c r="AS78" s="120"/>
      <c r="AT78" s="120"/>
      <c r="AU78" s="121"/>
      <c r="AV78" s="120"/>
      <c r="AW78" s="120"/>
      <c r="AX78" s="120"/>
      <c r="AY78" s="120">
        <f>COUNTIF($BA$12:$BA$13,"Skema 3")</f>
        <v>0</v>
      </c>
      <c r="AZ78" s="120"/>
      <c r="BA78" s="120"/>
      <c r="BB78" s="121"/>
      <c r="BC78" s="120"/>
      <c r="BD78" s="120"/>
      <c r="BE78" s="120"/>
      <c r="BF78" s="120">
        <f>COUNTIF($BH$16:$BH$17,"Skema 3")</f>
        <v>0</v>
      </c>
      <c r="BG78" s="120"/>
      <c r="BH78" s="120"/>
      <c r="BI78" s="120"/>
      <c r="BJ78" s="120"/>
      <c r="BK78" s="120"/>
      <c r="BL78" s="120"/>
      <c r="BM78" s="120">
        <f>COUNTIF($BO$14:$BO$15,"Skema 3")</f>
        <v>0</v>
      </c>
      <c r="BN78" s="120"/>
      <c r="BO78" s="120"/>
      <c r="BP78" s="120"/>
      <c r="BQ78" s="120"/>
      <c r="BR78" s="120"/>
      <c r="BS78" s="120"/>
      <c r="BT78" s="120">
        <f>COUNTIF($BV$11:$BV$12,"Skema 3")</f>
        <v>0</v>
      </c>
      <c r="BU78" s="120"/>
      <c r="BV78" s="120"/>
      <c r="BW78" s="120"/>
      <c r="BX78" s="120"/>
      <c r="BY78" s="120"/>
      <c r="BZ78" s="120"/>
      <c r="CA78" s="120">
        <f>COUNTIF($CC$16:$CC$17,"Skema 3")</f>
        <v>0</v>
      </c>
      <c r="CB78" s="120"/>
      <c r="CC78" s="120"/>
      <c r="CD78" s="120"/>
      <c r="CE78" s="120"/>
      <c r="CF78" s="120"/>
      <c r="CG78" s="120"/>
      <c r="CH78" s="120"/>
      <c r="CI78" s="120">
        <f t="shared" si="36"/>
        <v>0</v>
      </c>
      <c r="CJ78" s="120"/>
      <c r="CK78" s="120"/>
      <c r="CL78" s="120"/>
      <c r="CM78" s="120"/>
    </row>
    <row r="79" spans="1:91" hidden="1" x14ac:dyDescent="0.2">
      <c r="A79" s="120"/>
      <c r="B79" s="120">
        <f>COUNTIF($D$21:$D$22,"Skema 3")</f>
        <v>0</v>
      </c>
      <c r="C79" s="120"/>
      <c r="D79" s="120"/>
      <c r="E79" s="120"/>
      <c r="F79" s="120"/>
      <c r="G79" s="120"/>
      <c r="H79" s="120"/>
      <c r="I79" s="120">
        <f>COUNTIF($K$18:$K$19,"Skema 3")</f>
        <v>0</v>
      </c>
      <c r="J79" s="120"/>
      <c r="K79" s="120"/>
      <c r="L79" s="120"/>
      <c r="M79" s="120"/>
      <c r="N79" s="120"/>
      <c r="O79" s="120"/>
      <c r="P79" s="120">
        <f>COUNTIF($R$23:$R$24,"Skema 3")</f>
        <v>0</v>
      </c>
      <c r="Q79" s="120"/>
      <c r="R79" s="120"/>
      <c r="S79" s="120"/>
      <c r="T79" s="120"/>
      <c r="U79" s="120"/>
      <c r="V79" s="120"/>
      <c r="W79" s="120">
        <f>COUNTIF($Y$20:$Y$21,"Skema 3")</f>
        <v>0</v>
      </c>
      <c r="X79" s="120"/>
      <c r="Y79" s="120"/>
      <c r="Z79" s="120"/>
      <c r="AA79" s="120"/>
      <c r="AB79" s="120"/>
      <c r="AC79" s="120"/>
      <c r="AD79" s="120">
        <f>COUNTIF($AF$18:$AF$19,"Skema 3")</f>
        <v>0</v>
      </c>
      <c r="AE79" s="120"/>
      <c r="AF79" s="120"/>
      <c r="AG79" s="120"/>
      <c r="AH79" s="120"/>
      <c r="AI79" s="120"/>
      <c r="AJ79" s="120"/>
      <c r="AK79" s="120">
        <f>COUNTIF($AM$22:$AM$23,"Skema 3")</f>
        <v>0</v>
      </c>
      <c r="AL79" s="120"/>
      <c r="AM79" s="120"/>
      <c r="AN79" s="121"/>
      <c r="AO79" s="120"/>
      <c r="AP79" s="120"/>
      <c r="AQ79" s="120"/>
      <c r="AR79" s="120">
        <f>COUNTIF($AT$19:$AT$20,"Skema 3")</f>
        <v>0</v>
      </c>
      <c r="AS79" s="120"/>
      <c r="AT79" s="120"/>
      <c r="AU79" s="121"/>
      <c r="AV79" s="120"/>
      <c r="AW79" s="120"/>
      <c r="AX79" s="120"/>
      <c r="AY79" s="120">
        <f>COUNTIF($BA$19:$BA$20,"Skema 3")</f>
        <v>0</v>
      </c>
      <c r="AZ79" s="120"/>
      <c r="BA79" s="120"/>
      <c r="BB79" s="121"/>
      <c r="BC79" s="120"/>
      <c r="BD79" s="120"/>
      <c r="BE79" s="120"/>
      <c r="BF79" s="120">
        <f>COUNTIF($BH$23:$BH$24,"Skema 3")</f>
        <v>0</v>
      </c>
      <c r="BG79" s="120"/>
      <c r="BH79" s="120"/>
      <c r="BI79" s="120"/>
      <c r="BJ79" s="120"/>
      <c r="BK79" s="120"/>
      <c r="BL79" s="120"/>
      <c r="BM79" s="120">
        <f>COUNTIF($BO$21:$BO$22,"Skema 3")</f>
        <v>0</v>
      </c>
      <c r="BN79" s="120"/>
      <c r="BO79" s="120"/>
      <c r="BP79" s="120"/>
      <c r="BQ79" s="120"/>
      <c r="BR79" s="120"/>
      <c r="BS79" s="120"/>
      <c r="BT79" s="120">
        <f>COUNTIF($BV$18:$BV$19,"Skema 3")</f>
        <v>0</v>
      </c>
      <c r="BU79" s="120"/>
      <c r="BV79" s="120"/>
      <c r="BW79" s="120"/>
      <c r="BX79" s="120"/>
      <c r="BY79" s="120"/>
      <c r="BZ79" s="120"/>
      <c r="CA79" s="120">
        <f>COUNTIF($CC$23:$CC$24,"Skema 3")</f>
        <v>0</v>
      </c>
      <c r="CB79" s="120"/>
      <c r="CC79" s="120"/>
      <c r="CD79" s="120"/>
      <c r="CE79" s="120"/>
      <c r="CF79" s="120"/>
      <c r="CG79" s="120"/>
      <c r="CH79" s="120"/>
      <c r="CI79" s="120">
        <f t="shared" si="36"/>
        <v>0</v>
      </c>
      <c r="CJ79" s="120"/>
      <c r="CK79" s="120"/>
      <c r="CL79" s="120"/>
      <c r="CM79" s="120"/>
    </row>
    <row r="80" spans="1:91" hidden="1" x14ac:dyDescent="0.2">
      <c r="A80" s="120"/>
      <c r="B80" s="120">
        <f>COUNTIF($D$28:$D$29,"Skema 3")</f>
        <v>0</v>
      </c>
      <c r="C80" s="120"/>
      <c r="D80" s="120"/>
      <c r="E80" s="120"/>
      <c r="F80" s="120"/>
      <c r="G80" s="120"/>
      <c r="H80" s="120"/>
      <c r="I80" s="120">
        <f>COUNTIF($K$25:$K$26,"Skema 3")</f>
        <v>0</v>
      </c>
      <c r="J80" s="120"/>
      <c r="K80" s="120"/>
      <c r="L80" s="120"/>
      <c r="M80" s="120"/>
      <c r="N80" s="120"/>
      <c r="O80" s="120"/>
      <c r="P80" s="120">
        <f>COUNTIF($R$30:$R$31,"Skema 3")</f>
        <v>0</v>
      </c>
      <c r="Q80" s="120"/>
      <c r="R80" s="120"/>
      <c r="S80" s="120"/>
      <c r="T80" s="120"/>
      <c r="U80" s="120"/>
      <c r="V80" s="120"/>
      <c r="W80" s="120">
        <f>COUNTIF($Y$27:$Y$28,"Skema 3")</f>
        <v>0</v>
      </c>
      <c r="X80" s="120"/>
      <c r="Y80" s="120"/>
      <c r="Z80" s="120"/>
      <c r="AA80" s="120"/>
      <c r="AB80" s="120"/>
      <c r="AC80" s="120"/>
      <c r="AD80" s="120">
        <f>COUNTIF($AF$25:$AF$26,"Skema 3")</f>
        <v>0</v>
      </c>
      <c r="AE80" s="120"/>
      <c r="AF80" s="120"/>
      <c r="AG80" s="120"/>
      <c r="AH80" s="120"/>
      <c r="AI80" s="120"/>
      <c r="AJ80" s="120"/>
      <c r="AK80" s="120">
        <f>COUNTIF($AM$29:$AM$30,"Skema 3")</f>
        <v>0</v>
      </c>
      <c r="AL80" s="120"/>
      <c r="AM80" s="120"/>
      <c r="AN80" s="121"/>
      <c r="AO80" s="120"/>
      <c r="AP80" s="120"/>
      <c r="AQ80" s="120"/>
      <c r="AR80" s="120">
        <f>COUNTIF($AT$26:$AT$27,"Skema 3")</f>
        <v>0</v>
      </c>
      <c r="AS80" s="120"/>
      <c r="AT80" s="120"/>
      <c r="AU80" s="121"/>
      <c r="AV80" s="120"/>
      <c r="AW80" s="120"/>
      <c r="AX80" s="120"/>
      <c r="AY80" s="120">
        <f>COUNTIF($BA$26:$BA$27,"Skema 3")</f>
        <v>0</v>
      </c>
      <c r="AZ80" s="120"/>
      <c r="BA80" s="120"/>
      <c r="BB80" s="121"/>
      <c r="BC80" s="120"/>
      <c r="BD80" s="120"/>
      <c r="BE80" s="120"/>
      <c r="BF80" s="120">
        <f>COUNTIF($BH$30:$BH$31,"Skema 3")</f>
        <v>0</v>
      </c>
      <c r="BG80" s="120"/>
      <c r="BH80" s="120"/>
      <c r="BI80" s="120"/>
      <c r="BJ80" s="120"/>
      <c r="BK80" s="120"/>
      <c r="BL80" s="120"/>
      <c r="BM80" s="120">
        <f>COUNTIF($BO$28:$BO$29,"Skema 3")</f>
        <v>0</v>
      </c>
      <c r="BN80" s="120"/>
      <c r="BO80" s="120"/>
      <c r="BP80" s="120"/>
      <c r="BQ80" s="120"/>
      <c r="BR80" s="120"/>
      <c r="BS80" s="120"/>
      <c r="BT80" s="120">
        <f>COUNTIF($BV$25:$BV$26,"Skema 3")</f>
        <v>0</v>
      </c>
      <c r="BU80" s="120"/>
      <c r="BV80" s="120"/>
      <c r="BW80" s="120"/>
      <c r="BX80" s="120"/>
      <c r="BY80" s="120"/>
      <c r="BZ80" s="120"/>
      <c r="CA80" s="120">
        <f>COUNTIF($CC$30:$CC$31,"Skema 3")</f>
        <v>0</v>
      </c>
      <c r="CB80" s="120"/>
      <c r="CC80" s="120"/>
      <c r="CD80" s="120"/>
      <c r="CE80" s="120"/>
      <c r="CF80" s="120"/>
      <c r="CG80" s="120"/>
      <c r="CH80" s="120"/>
      <c r="CI80" s="120">
        <f t="shared" si="36"/>
        <v>0</v>
      </c>
      <c r="CJ80" s="120"/>
      <c r="CK80" s="120"/>
      <c r="CL80" s="120"/>
      <c r="CM80" s="120"/>
    </row>
    <row r="81" spans="1:91" hidden="1" x14ac:dyDescent="0.2">
      <c r="A81" s="120"/>
      <c r="B81" s="120">
        <f>COUNTIF($D$35,"Skema 3")</f>
        <v>0</v>
      </c>
      <c r="C81" s="120"/>
      <c r="D81" s="120"/>
      <c r="E81" s="120"/>
      <c r="F81" s="120"/>
      <c r="G81" s="120"/>
      <c r="H81" s="120"/>
      <c r="I81" s="120">
        <f>COUNTIF($K$32:$K$33,"Skema 3")</f>
        <v>0</v>
      </c>
      <c r="J81" s="120"/>
      <c r="K81" s="120"/>
      <c r="L81" s="120"/>
      <c r="M81" s="120"/>
      <c r="N81" s="120"/>
      <c r="O81" s="120"/>
      <c r="P81" s="120"/>
      <c r="Q81" s="120"/>
      <c r="R81" s="120"/>
      <c r="S81" s="120"/>
      <c r="T81" s="120"/>
      <c r="U81" s="120"/>
      <c r="V81" s="120"/>
      <c r="W81" s="120">
        <f>COUNTIF($Y$34,"Skema 3")</f>
        <v>0</v>
      </c>
      <c r="X81" s="120"/>
      <c r="Y81" s="120"/>
      <c r="Z81" s="120"/>
      <c r="AA81" s="120"/>
      <c r="AB81" s="120"/>
      <c r="AC81" s="120"/>
      <c r="AD81" s="120">
        <f>COUNTIF($AF$32:$AF$33,"Skema 3")</f>
        <v>0</v>
      </c>
      <c r="AE81" s="120"/>
      <c r="AF81" s="120"/>
      <c r="AG81" s="120"/>
      <c r="AH81" s="120"/>
      <c r="AI81" s="120"/>
      <c r="AJ81" s="120"/>
      <c r="AK81" s="120"/>
      <c r="AL81" s="120"/>
      <c r="AM81" s="120"/>
      <c r="AN81" s="121"/>
      <c r="AO81" s="120"/>
      <c r="AP81" s="120"/>
      <c r="AQ81" s="120"/>
      <c r="AR81" s="120"/>
      <c r="AS81" s="120"/>
      <c r="AT81" s="120"/>
      <c r="AU81" s="121"/>
      <c r="AV81" s="120"/>
      <c r="AW81" s="120"/>
      <c r="AX81" s="120"/>
      <c r="AY81" s="120">
        <f>COUNTIF($BA$33:$BA$34,"Skema 3")</f>
        <v>0</v>
      </c>
      <c r="AZ81" s="120"/>
      <c r="BA81" s="120"/>
      <c r="BB81" s="121"/>
      <c r="BC81" s="120"/>
      <c r="BD81" s="120"/>
      <c r="BE81" s="120"/>
      <c r="BF81" s="120"/>
      <c r="BG81" s="120"/>
      <c r="BH81" s="120"/>
      <c r="BI81" s="120"/>
      <c r="BJ81" s="120"/>
      <c r="BK81" s="120"/>
      <c r="BL81" s="120"/>
      <c r="BM81" s="120">
        <f>COUNTIF($BO$35,"Skema 3")</f>
        <v>0</v>
      </c>
      <c r="BN81" s="120"/>
      <c r="BO81" s="120"/>
      <c r="BP81" s="120"/>
      <c r="BQ81" s="120"/>
      <c r="BR81" s="120"/>
      <c r="BS81" s="120"/>
      <c r="BT81" s="120">
        <f>COUNTIF($BV$32:$BV$33,"Skema 3")</f>
        <v>0</v>
      </c>
      <c r="BU81" s="120"/>
      <c r="BV81" s="120"/>
      <c r="BW81" s="120"/>
      <c r="BX81" s="120"/>
      <c r="BY81" s="120"/>
      <c r="BZ81" s="120"/>
      <c r="CA81" s="120"/>
      <c r="CB81" s="120"/>
      <c r="CC81" s="120"/>
      <c r="CD81" s="120"/>
      <c r="CE81" s="120"/>
      <c r="CF81" s="120"/>
      <c r="CG81" s="120"/>
      <c r="CH81" s="120"/>
      <c r="CI81" s="120">
        <f t="shared" si="36"/>
        <v>0</v>
      </c>
      <c r="CJ81" s="120"/>
      <c r="CK81" s="120"/>
      <c r="CL81" s="120"/>
      <c r="CM81" s="120"/>
    </row>
    <row r="82" spans="1:91" hidden="1" x14ac:dyDescent="0.2">
      <c r="A82" s="120"/>
      <c r="B82" s="120" t="s">
        <v>131</v>
      </c>
      <c r="C82" s="120"/>
      <c r="D82" s="120"/>
      <c r="E82" s="120"/>
      <c r="F82" s="120"/>
      <c r="G82" s="120"/>
      <c r="H82" s="120"/>
      <c r="I82" s="120" t="s">
        <v>131</v>
      </c>
      <c r="J82" s="120"/>
      <c r="K82" s="120"/>
      <c r="L82" s="120"/>
      <c r="M82" s="120"/>
      <c r="N82" s="120"/>
      <c r="O82" s="120"/>
      <c r="P82" s="120" t="s">
        <v>131</v>
      </c>
      <c r="Q82" s="120"/>
      <c r="R82" s="120"/>
      <c r="S82" s="120"/>
      <c r="T82" s="120"/>
      <c r="U82" s="120"/>
      <c r="V82" s="120"/>
      <c r="W82" s="120" t="s">
        <v>131</v>
      </c>
      <c r="X82" s="120"/>
      <c r="Y82" s="120"/>
      <c r="Z82" s="120"/>
      <c r="AA82" s="120"/>
      <c r="AB82" s="120"/>
      <c r="AC82" s="120"/>
      <c r="AD82" s="120" t="s">
        <v>131</v>
      </c>
      <c r="AE82" s="120"/>
      <c r="AF82" s="120"/>
      <c r="AG82" s="120"/>
      <c r="AH82" s="120"/>
      <c r="AI82" s="120"/>
      <c r="AJ82" s="120"/>
      <c r="AK82" s="120" t="s">
        <v>131</v>
      </c>
      <c r="AL82" s="120"/>
      <c r="AM82" s="120"/>
      <c r="AN82" s="121"/>
      <c r="AO82" s="120"/>
      <c r="AP82" s="120"/>
      <c r="AQ82" s="120"/>
      <c r="AR82" s="120" t="s">
        <v>131</v>
      </c>
      <c r="AS82" s="120"/>
      <c r="AT82" s="120"/>
      <c r="AU82" s="121"/>
      <c r="AV82" s="120"/>
      <c r="AW82" s="120"/>
      <c r="AX82" s="120"/>
      <c r="AY82" s="120" t="s">
        <v>131</v>
      </c>
      <c r="AZ82" s="120"/>
      <c r="BA82" s="120"/>
      <c r="BB82" s="121"/>
      <c r="BC82" s="120"/>
      <c r="BD82" s="120"/>
      <c r="BE82" s="120"/>
      <c r="BF82" s="120" t="s">
        <v>131</v>
      </c>
      <c r="BG82" s="120"/>
      <c r="BH82" s="120"/>
      <c r="BI82" s="120"/>
      <c r="BJ82" s="120"/>
      <c r="BK82" s="120"/>
      <c r="BL82" s="120"/>
      <c r="BM82" s="120" t="s">
        <v>131</v>
      </c>
      <c r="BN82" s="120"/>
      <c r="BO82" s="120"/>
      <c r="BP82" s="120"/>
      <c r="BQ82" s="120"/>
      <c r="BR82" s="120"/>
      <c r="BS82" s="120"/>
      <c r="BT82" s="120" t="s">
        <v>131</v>
      </c>
      <c r="BU82" s="120"/>
      <c r="BV82" s="120"/>
      <c r="BW82" s="120"/>
      <c r="BX82" s="120"/>
      <c r="BY82" s="120"/>
      <c r="BZ82" s="120"/>
      <c r="CA82" s="120" t="s">
        <v>131</v>
      </c>
      <c r="CB82" s="120"/>
      <c r="CC82" s="120"/>
      <c r="CD82" s="120"/>
      <c r="CE82" s="120"/>
      <c r="CF82" s="120"/>
      <c r="CG82" s="120"/>
      <c r="CH82" s="120"/>
      <c r="CI82" s="120">
        <f t="shared" si="36"/>
        <v>0</v>
      </c>
      <c r="CJ82" s="120"/>
      <c r="CK82" s="120"/>
      <c r="CL82" s="120"/>
      <c r="CM82" s="120"/>
    </row>
    <row r="83" spans="1:91" hidden="1" x14ac:dyDescent="0.2">
      <c r="A83" s="120"/>
      <c r="B83" s="120">
        <f>COUNTIF($D$7:$D$8,"Skema 4")</f>
        <v>0</v>
      </c>
      <c r="C83" s="120"/>
      <c r="D83" s="120"/>
      <c r="E83" s="120"/>
      <c r="F83" s="120"/>
      <c r="G83" s="120"/>
      <c r="H83" s="120"/>
      <c r="I83" s="120">
        <f>COUNTIF($K$5,"Skema 4")</f>
        <v>0</v>
      </c>
      <c r="J83" s="120"/>
      <c r="K83" s="120"/>
      <c r="L83" s="120"/>
      <c r="M83" s="120"/>
      <c r="N83" s="120"/>
      <c r="O83" s="120"/>
      <c r="P83" s="120">
        <f>COUNTIF($R$9:$R$10,"Skema 4")</f>
        <v>0</v>
      </c>
      <c r="Q83" s="120"/>
      <c r="R83" s="120"/>
      <c r="S83" s="120"/>
      <c r="T83" s="120"/>
      <c r="U83" s="120"/>
      <c r="V83" s="120"/>
      <c r="W83" s="120">
        <f>COUNTIF($Y$6:$Y$7,"Skema 4")</f>
        <v>0</v>
      </c>
      <c r="X83" s="120"/>
      <c r="Y83" s="120"/>
      <c r="Z83" s="120"/>
      <c r="AA83" s="120"/>
      <c r="AB83" s="120"/>
      <c r="AC83" s="120"/>
      <c r="AD83" s="120">
        <f>COUNTIF($AF$5,"Skema 4")</f>
        <v>0</v>
      </c>
      <c r="AE83" s="120"/>
      <c r="AF83" s="120"/>
      <c r="AG83" s="120"/>
      <c r="AH83" s="120"/>
      <c r="AI83" s="120"/>
      <c r="AJ83" s="120"/>
      <c r="AK83" s="120">
        <f>COUNTIF($AM$8:$AM$9,"Skema 4")</f>
        <v>0</v>
      </c>
      <c r="AL83" s="120"/>
      <c r="AM83" s="120"/>
      <c r="AN83" s="121"/>
      <c r="AO83" s="120"/>
      <c r="AP83" s="120"/>
      <c r="AQ83" s="120"/>
      <c r="AR83" s="120">
        <f>COUNTIF($AT$5:$AT$6,"Skema 4")</f>
        <v>0</v>
      </c>
      <c r="AS83" s="120"/>
      <c r="AT83" s="120"/>
      <c r="AU83" s="121"/>
      <c r="AV83" s="120"/>
      <c r="AW83" s="120"/>
      <c r="AX83" s="120"/>
      <c r="AY83" s="120">
        <f>COUNTIF($BA$5:$BA$6,"Skema 4")</f>
        <v>0</v>
      </c>
      <c r="AZ83" s="120"/>
      <c r="BA83" s="120"/>
      <c r="BB83" s="121"/>
      <c r="BC83" s="120"/>
      <c r="BD83" s="120"/>
      <c r="BE83" s="120"/>
      <c r="BF83" s="120">
        <f>COUNTIF($BH$9:$BH$10,"Skema 4")</f>
        <v>0</v>
      </c>
      <c r="BG83" s="120"/>
      <c r="BH83" s="120"/>
      <c r="BI83" s="120"/>
      <c r="BJ83" s="120"/>
      <c r="BK83" s="120"/>
      <c r="BL83" s="120"/>
      <c r="BM83" s="120">
        <f>COUNTIF($BO$7:$BO$8,"Skema 4")</f>
        <v>0</v>
      </c>
      <c r="BN83" s="120"/>
      <c r="BO83" s="120"/>
      <c r="BP83" s="120"/>
      <c r="BQ83" s="120"/>
      <c r="BR83" s="120"/>
      <c r="BS83" s="120"/>
      <c r="BT83" s="120">
        <f>COUNTIF($BV$5,"Skema 4")</f>
        <v>0</v>
      </c>
      <c r="BU83" s="120"/>
      <c r="BV83" s="120"/>
      <c r="BW83" s="120"/>
      <c r="BX83" s="120"/>
      <c r="BY83" s="120"/>
      <c r="BZ83" s="120"/>
      <c r="CA83" s="120">
        <f>COUNTIF($CC$9:$CC$10,"Skema 4")</f>
        <v>0</v>
      </c>
      <c r="CB83" s="120"/>
      <c r="CC83" s="120"/>
      <c r="CD83" s="120"/>
      <c r="CE83" s="120"/>
      <c r="CF83" s="120"/>
      <c r="CG83" s="120"/>
      <c r="CH83" s="120"/>
      <c r="CI83" s="120">
        <f t="shared" si="36"/>
        <v>0</v>
      </c>
      <c r="CJ83" s="120"/>
      <c r="CK83" s="120"/>
      <c r="CL83" s="120"/>
      <c r="CM83" s="120"/>
    </row>
    <row r="84" spans="1:91" hidden="1" x14ac:dyDescent="0.2">
      <c r="A84" s="120"/>
      <c r="B84" s="120">
        <f>COUNTIF($D$14:$D$15,"Skema 4")</f>
        <v>0</v>
      </c>
      <c r="C84" s="120"/>
      <c r="D84" s="120"/>
      <c r="E84" s="120"/>
      <c r="F84" s="120"/>
      <c r="G84" s="120"/>
      <c r="H84" s="120"/>
      <c r="I84" s="120">
        <f>COUNTIF($K$11:$K$12,"Skema 4")</f>
        <v>0</v>
      </c>
      <c r="J84" s="120"/>
      <c r="K84" s="120"/>
      <c r="L84" s="120"/>
      <c r="M84" s="120"/>
      <c r="N84" s="120"/>
      <c r="O84" s="120"/>
      <c r="P84" s="120">
        <f>COUNTIF($R$16:$R$17,"Skema 4")</f>
        <v>0</v>
      </c>
      <c r="Q84" s="120"/>
      <c r="R84" s="120"/>
      <c r="S84" s="120"/>
      <c r="T84" s="120"/>
      <c r="U84" s="120"/>
      <c r="V84" s="120"/>
      <c r="W84" s="120">
        <f>COUNTIF($Y$13:$Y$14,"Skema 4")</f>
        <v>0</v>
      </c>
      <c r="X84" s="120"/>
      <c r="Y84" s="120"/>
      <c r="Z84" s="120"/>
      <c r="AA84" s="120"/>
      <c r="AB84" s="120"/>
      <c r="AC84" s="120"/>
      <c r="AD84" s="120">
        <f>COUNTIF($AF$11:$AF$12,"Skema 4")</f>
        <v>0</v>
      </c>
      <c r="AE84" s="120"/>
      <c r="AF84" s="120"/>
      <c r="AG84" s="120"/>
      <c r="AH84" s="120"/>
      <c r="AI84" s="120"/>
      <c r="AJ84" s="120"/>
      <c r="AK84" s="120">
        <f>COUNTIF($AM$15:$AM$16,"Skema 4")</f>
        <v>0</v>
      </c>
      <c r="AL84" s="120"/>
      <c r="AM84" s="120"/>
      <c r="AN84" s="121"/>
      <c r="AO84" s="120"/>
      <c r="AP84" s="120"/>
      <c r="AQ84" s="120"/>
      <c r="AR84" s="120">
        <f>COUNTIF($AT$12:$AT$13,"Skema 4")</f>
        <v>0</v>
      </c>
      <c r="AS84" s="120"/>
      <c r="AT84" s="120"/>
      <c r="AU84" s="121"/>
      <c r="AV84" s="120"/>
      <c r="AW84" s="120"/>
      <c r="AX84" s="120"/>
      <c r="AY84" s="120">
        <f>COUNTIF($BA$12:$BA$13,"Skema 4")</f>
        <v>0</v>
      </c>
      <c r="AZ84" s="120"/>
      <c r="BA84" s="120"/>
      <c r="BB84" s="121"/>
      <c r="BC84" s="120"/>
      <c r="BD84" s="120"/>
      <c r="BE84" s="120"/>
      <c r="BF84" s="120">
        <f>COUNTIF($BH$16:$BH$17,"Skema 4")</f>
        <v>0</v>
      </c>
      <c r="BG84" s="120"/>
      <c r="BH84" s="120"/>
      <c r="BI84" s="120"/>
      <c r="BJ84" s="120"/>
      <c r="BK84" s="120"/>
      <c r="BL84" s="120"/>
      <c r="BM84" s="120">
        <f>COUNTIF($BO$14:$BO$15,"Skema 4")</f>
        <v>0</v>
      </c>
      <c r="BN84" s="120"/>
      <c r="BO84" s="120"/>
      <c r="BP84" s="120"/>
      <c r="BQ84" s="120"/>
      <c r="BR84" s="120"/>
      <c r="BS84" s="120"/>
      <c r="BT84" s="120">
        <f>COUNTIF($BV$11:$BV$12,"Skema 4")</f>
        <v>0</v>
      </c>
      <c r="BU84" s="120"/>
      <c r="BV84" s="120"/>
      <c r="BW84" s="120"/>
      <c r="BX84" s="120"/>
      <c r="BY84" s="120"/>
      <c r="BZ84" s="120"/>
      <c r="CA84" s="120">
        <f>COUNTIF($CC$16:$CC$17,"Skema 4")</f>
        <v>0</v>
      </c>
      <c r="CB84" s="120"/>
      <c r="CC84" s="120"/>
      <c r="CD84" s="120"/>
      <c r="CE84" s="120"/>
      <c r="CF84" s="120"/>
      <c r="CG84" s="120"/>
      <c r="CH84" s="120"/>
      <c r="CI84" s="120">
        <f t="shared" si="36"/>
        <v>0</v>
      </c>
      <c r="CJ84" s="120"/>
      <c r="CK84" s="120"/>
      <c r="CL84" s="120"/>
      <c r="CM84" s="120"/>
    </row>
    <row r="85" spans="1:91" hidden="1" x14ac:dyDescent="0.2">
      <c r="A85" s="120"/>
      <c r="B85" s="120">
        <f>COUNTIF($D$21:$D$22,"Skema 4")</f>
        <v>0</v>
      </c>
      <c r="C85" s="120"/>
      <c r="D85" s="120"/>
      <c r="E85" s="120"/>
      <c r="F85" s="120"/>
      <c r="G85" s="120"/>
      <c r="H85" s="120"/>
      <c r="I85" s="120">
        <f>COUNTIF($K$18:$K$19,"Skema 4")</f>
        <v>0</v>
      </c>
      <c r="J85" s="120"/>
      <c r="K85" s="120"/>
      <c r="L85" s="120"/>
      <c r="M85" s="120"/>
      <c r="N85" s="120"/>
      <c r="O85" s="120"/>
      <c r="P85" s="120">
        <f>COUNTIF($R$23:$R$24,"Skema 4")</f>
        <v>0</v>
      </c>
      <c r="Q85" s="120"/>
      <c r="R85" s="120"/>
      <c r="S85" s="120"/>
      <c r="T85" s="120"/>
      <c r="U85" s="120"/>
      <c r="V85" s="120"/>
      <c r="W85" s="120">
        <f>COUNTIF($Y$20:$Y$21,"Skema 4")</f>
        <v>0</v>
      </c>
      <c r="X85" s="120"/>
      <c r="Y85" s="120"/>
      <c r="Z85" s="120"/>
      <c r="AA85" s="120"/>
      <c r="AB85" s="120"/>
      <c r="AC85" s="120"/>
      <c r="AD85" s="120">
        <f>COUNTIF($AF$18:$AF$19,"Skema 4")</f>
        <v>0</v>
      </c>
      <c r="AE85" s="120"/>
      <c r="AF85" s="120"/>
      <c r="AG85" s="120"/>
      <c r="AH85" s="120"/>
      <c r="AI85" s="120"/>
      <c r="AJ85" s="120"/>
      <c r="AK85" s="120">
        <f>COUNTIF($AM$22:$AM$23,"Skema 4")</f>
        <v>0</v>
      </c>
      <c r="AL85" s="120"/>
      <c r="AM85" s="120"/>
      <c r="AN85" s="121"/>
      <c r="AO85" s="120"/>
      <c r="AP85" s="120"/>
      <c r="AQ85" s="120"/>
      <c r="AR85" s="120">
        <f>COUNTIF($AT$19:$AT$20,"Skema 4")</f>
        <v>0</v>
      </c>
      <c r="AS85" s="120"/>
      <c r="AT85" s="120"/>
      <c r="AU85" s="121"/>
      <c r="AV85" s="120"/>
      <c r="AW85" s="120"/>
      <c r="AX85" s="120"/>
      <c r="AY85" s="120">
        <f>COUNTIF($BA$19:$BA$20,"Skema 4")</f>
        <v>0</v>
      </c>
      <c r="AZ85" s="120"/>
      <c r="BA85" s="120"/>
      <c r="BB85" s="121"/>
      <c r="BC85" s="120"/>
      <c r="BD85" s="120"/>
      <c r="BE85" s="120"/>
      <c r="BF85" s="120">
        <f>COUNTIF($BH$23:$BH$24,"Skema 4")</f>
        <v>0</v>
      </c>
      <c r="BG85" s="120"/>
      <c r="BH85" s="120"/>
      <c r="BI85" s="120"/>
      <c r="BJ85" s="120"/>
      <c r="BK85" s="120"/>
      <c r="BL85" s="120"/>
      <c r="BM85" s="120">
        <f>COUNTIF($BO$21:$BO$22,"Skema 4")</f>
        <v>0</v>
      </c>
      <c r="BN85" s="120"/>
      <c r="BO85" s="120"/>
      <c r="BP85" s="120"/>
      <c r="BQ85" s="120"/>
      <c r="BR85" s="120"/>
      <c r="BS85" s="120"/>
      <c r="BT85" s="120">
        <f>COUNTIF($BV$18:$BV$19,"Skema 4")</f>
        <v>0</v>
      </c>
      <c r="BU85" s="120"/>
      <c r="BV85" s="120"/>
      <c r="BW85" s="120"/>
      <c r="BX85" s="120"/>
      <c r="BY85" s="120"/>
      <c r="BZ85" s="120"/>
      <c r="CA85" s="120">
        <f>COUNTIF($CC$23:$CC$24,"Skema 4")</f>
        <v>0</v>
      </c>
      <c r="CB85" s="120"/>
      <c r="CC85" s="120"/>
      <c r="CD85" s="120"/>
      <c r="CE85" s="120"/>
      <c r="CF85" s="120"/>
      <c r="CG85" s="120"/>
      <c r="CH85" s="120"/>
      <c r="CI85" s="120">
        <f t="shared" si="36"/>
        <v>0</v>
      </c>
      <c r="CJ85" s="120"/>
      <c r="CK85" s="120"/>
      <c r="CL85" s="120"/>
      <c r="CM85" s="120"/>
    </row>
    <row r="86" spans="1:91" hidden="1" x14ac:dyDescent="0.2">
      <c r="A86" s="120"/>
      <c r="B86" s="120">
        <f>COUNTIF($D$28:$D$29,"Skema 4")</f>
        <v>0</v>
      </c>
      <c r="C86" s="120"/>
      <c r="D86" s="120"/>
      <c r="E86" s="120"/>
      <c r="F86" s="120"/>
      <c r="G86" s="120"/>
      <c r="H86" s="120"/>
      <c r="I86" s="120">
        <f>COUNTIF($K$25:$K$26,"Skema 4")</f>
        <v>0</v>
      </c>
      <c r="J86" s="120"/>
      <c r="K86" s="120"/>
      <c r="L86" s="120"/>
      <c r="M86" s="120"/>
      <c r="N86" s="120"/>
      <c r="O86" s="120"/>
      <c r="P86" s="120">
        <f>COUNTIF($R$30:$R$31,"Skema 4")</f>
        <v>0</v>
      </c>
      <c r="Q86" s="120"/>
      <c r="R86" s="120"/>
      <c r="S86" s="120"/>
      <c r="T86" s="120"/>
      <c r="U86" s="120"/>
      <c r="V86" s="120"/>
      <c r="W86" s="120">
        <f>COUNTIF($Y$27:$Y$28,"Skema 4")</f>
        <v>0</v>
      </c>
      <c r="X86" s="120"/>
      <c r="Y86" s="120"/>
      <c r="Z86" s="120"/>
      <c r="AA86" s="120"/>
      <c r="AB86" s="120"/>
      <c r="AC86" s="120"/>
      <c r="AD86" s="120">
        <f>COUNTIF($AF$25:$AF$26,"Skema 4")</f>
        <v>0</v>
      </c>
      <c r="AE86" s="120"/>
      <c r="AF86" s="120"/>
      <c r="AG86" s="120"/>
      <c r="AH86" s="120"/>
      <c r="AI86" s="120"/>
      <c r="AJ86" s="120"/>
      <c r="AK86" s="120">
        <f>COUNTIF($AM$29:$AM$30,"Skema 4")</f>
        <v>0</v>
      </c>
      <c r="AL86" s="120"/>
      <c r="AM86" s="120"/>
      <c r="AN86" s="121"/>
      <c r="AO86" s="120"/>
      <c r="AP86" s="120"/>
      <c r="AQ86" s="120"/>
      <c r="AR86" s="120">
        <f>COUNTIF($AT$26:$AT$27,"Skema 4")</f>
        <v>0</v>
      </c>
      <c r="AS86" s="120"/>
      <c r="AT86" s="120"/>
      <c r="AU86" s="121"/>
      <c r="AV86" s="120"/>
      <c r="AW86" s="120"/>
      <c r="AX86" s="120"/>
      <c r="AY86" s="120">
        <f>COUNTIF($BA$26:$BA$27,"Skema 4")</f>
        <v>0</v>
      </c>
      <c r="AZ86" s="120"/>
      <c r="BA86" s="120"/>
      <c r="BB86" s="121"/>
      <c r="BC86" s="120"/>
      <c r="BD86" s="120"/>
      <c r="BE86" s="120"/>
      <c r="BF86" s="120">
        <f>COUNTIF($BH$30:$BH$31,"Skema 4")</f>
        <v>0</v>
      </c>
      <c r="BG86" s="120"/>
      <c r="BH86" s="120"/>
      <c r="BI86" s="120"/>
      <c r="BJ86" s="120"/>
      <c r="BK86" s="120"/>
      <c r="BL86" s="120"/>
      <c r="BM86" s="120">
        <f>COUNTIF($BO$28:$BO$29,"Skema 4")</f>
        <v>0</v>
      </c>
      <c r="BN86" s="120"/>
      <c r="BO86" s="120"/>
      <c r="BP86" s="120"/>
      <c r="BQ86" s="120"/>
      <c r="BR86" s="120"/>
      <c r="BS86" s="120"/>
      <c r="BT86" s="120">
        <f>COUNTIF($BV$25:$BV$26,"Skema 4")</f>
        <v>0</v>
      </c>
      <c r="BU86" s="120"/>
      <c r="BV86" s="120"/>
      <c r="BW86" s="120"/>
      <c r="BX86" s="120"/>
      <c r="BY86" s="120"/>
      <c r="BZ86" s="120"/>
      <c r="CA86" s="120">
        <f>COUNTIF($CC$30:$CC$31,"Skema 4")</f>
        <v>0</v>
      </c>
      <c r="CB86" s="120"/>
      <c r="CC86" s="120"/>
      <c r="CD86" s="120"/>
      <c r="CE86" s="120"/>
      <c r="CF86" s="120"/>
      <c r="CG86" s="120"/>
      <c r="CH86" s="120"/>
      <c r="CI86" s="120">
        <f t="shared" si="36"/>
        <v>0</v>
      </c>
      <c r="CJ86" s="120"/>
      <c r="CK86" s="120"/>
      <c r="CL86" s="120"/>
      <c r="CM86" s="120"/>
    </row>
    <row r="87" spans="1:91" hidden="1" x14ac:dyDescent="0.2">
      <c r="A87" s="120"/>
      <c r="B87" s="120">
        <f>COUNTIF($D$35,"Skema 4")</f>
        <v>0</v>
      </c>
      <c r="C87" s="120"/>
      <c r="D87" s="120"/>
      <c r="E87" s="120"/>
      <c r="F87" s="120"/>
      <c r="G87" s="120"/>
      <c r="H87" s="120"/>
      <c r="I87" s="120">
        <f>COUNTIF($K$32:$K$33,"Skema 4")</f>
        <v>0</v>
      </c>
      <c r="J87" s="120"/>
      <c r="K87" s="120"/>
      <c r="L87" s="120"/>
      <c r="M87" s="120"/>
      <c r="N87" s="120"/>
      <c r="O87" s="120"/>
      <c r="P87" s="120"/>
      <c r="Q87" s="120"/>
      <c r="R87" s="120"/>
      <c r="S87" s="120"/>
      <c r="T87" s="120"/>
      <c r="U87" s="120"/>
      <c r="V87" s="120"/>
      <c r="W87" s="120">
        <f>COUNTIF($Y$34,"Skema 4")</f>
        <v>0</v>
      </c>
      <c r="X87" s="120"/>
      <c r="Y87" s="120"/>
      <c r="Z87" s="120"/>
      <c r="AA87" s="120"/>
      <c r="AB87" s="120"/>
      <c r="AC87" s="120"/>
      <c r="AD87" s="120">
        <f>COUNTIF($AF$32:$AF$33,"Skema 4")</f>
        <v>0</v>
      </c>
      <c r="AE87" s="120"/>
      <c r="AF87" s="120"/>
      <c r="AG87" s="120"/>
      <c r="AH87" s="120"/>
      <c r="AI87" s="120"/>
      <c r="AJ87" s="120"/>
      <c r="AK87" s="120"/>
      <c r="AL87" s="120"/>
      <c r="AM87" s="120"/>
      <c r="AN87" s="121"/>
      <c r="AO87" s="120"/>
      <c r="AP87" s="120"/>
      <c r="AQ87" s="120"/>
      <c r="AR87" s="120"/>
      <c r="AS87" s="120"/>
      <c r="AT87" s="120"/>
      <c r="AU87" s="121"/>
      <c r="AV87" s="120"/>
      <c r="AW87" s="120"/>
      <c r="AX87" s="120"/>
      <c r="AY87" s="120">
        <f>COUNTIF($BA$33:$BA$34,"Skema 4")</f>
        <v>0</v>
      </c>
      <c r="AZ87" s="120"/>
      <c r="BA87" s="120"/>
      <c r="BB87" s="121"/>
      <c r="BC87" s="120"/>
      <c r="BD87" s="120"/>
      <c r="BE87" s="120"/>
      <c r="BF87" s="120"/>
      <c r="BG87" s="120"/>
      <c r="BH87" s="120"/>
      <c r="BI87" s="120"/>
      <c r="BJ87" s="120"/>
      <c r="BK87" s="120"/>
      <c r="BL87" s="120"/>
      <c r="BM87" s="120">
        <f>COUNTIF($BO$35,"Skema 4")</f>
        <v>0</v>
      </c>
      <c r="BN87" s="120"/>
      <c r="BO87" s="120"/>
      <c r="BP87" s="120"/>
      <c r="BQ87" s="120"/>
      <c r="BR87" s="120"/>
      <c r="BS87" s="120"/>
      <c r="BT87" s="120">
        <f>COUNTIF($BV$32:$BV$33,"Skema 4")</f>
        <v>0</v>
      </c>
      <c r="BU87" s="120"/>
      <c r="BV87" s="120"/>
      <c r="BW87" s="120"/>
      <c r="BX87" s="120"/>
      <c r="BY87" s="120"/>
      <c r="BZ87" s="120"/>
      <c r="CA87" s="120"/>
      <c r="CB87" s="120"/>
      <c r="CC87" s="120"/>
      <c r="CD87" s="120"/>
      <c r="CE87" s="120"/>
      <c r="CF87" s="120"/>
      <c r="CG87" s="120"/>
      <c r="CH87" s="120"/>
      <c r="CI87" s="120">
        <f t="shared" si="36"/>
        <v>0</v>
      </c>
      <c r="CJ87" s="120"/>
      <c r="CK87" s="120"/>
      <c r="CL87" s="120"/>
      <c r="CM87" s="120"/>
    </row>
    <row r="88" spans="1:91" hidden="1" x14ac:dyDescent="0.2">
      <c r="A88" s="120"/>
      <c r="B88" s="120" t="s">
        <v>83</v>
      </c>
      <c r="C88" s="120"/>
      <c r="D88" s="120"/>
      <c r="E88" s="120"/>
      <c r="F88" s="120"/>
      <c r="G88" s="120"/>
      <c r="H88" s="120"/>
      <c r="I88" s="120" t="s">
        <v>83</v>
      </c>
      <c r="J88" s="120"/>
      <c r="K88" s="120"/>
      <c r="L88" s="120"/>
      <c r="M88" s="120"/>
      <c r="N88" s="120"/>
      <c r="O88" s="120"/>
      <c r="P88" s="120" t="s">
        <v>83</v>
      </c>
      <c r="Q88" s="120"/>
      <c r="R88" s="120"/>
      <c r="S88" s="120"/>
      <c r="T88" s="120"/>
      <c r="U88" s="120"/>
      <c r="V88" s="120"/>
      <c r="W88" s="120" t="s">
        <v>83</v>
      </c>
      <c r="X88" s="120"/>
      <c r="Y88" s="120"/>
      <c r="Z88" s="120"/>
      <c r="AA88" s="120"/>
      <c r="AB88" s="120"/>
      <c r="AC88" s="120"/>
      <c r="AD88" s="120" t="s">
        <v>83</v>
      </c>
      <c r="AE88" s="120"/>
      <c r="AF88" s="120"/>
      <c r="AG88" s="120"/>
      <c r="AH88" s="120"/>
      <c r="AI88" s="120"/>
      <c r="AJ88" s="120"/>
      <c r="AK88" s="120" t="s">
        <v>83</v>
      </c>
      <c r="AL88" s="120"/>
      <c r="AM88" s="120"/>
      <c r="AN88" s="121"/>
      <c r="AO88" s="120"/>
      <c r="AP88" s="120"/>
      <c r="AQ88" s="120"/>
      <c r="AR88" s="120" t="s">
        <v>83</v>
      </c>
      <c r="AS88" s="120"/>
      <c r="AT88" s="120"/>
      <c r="AU88" s="121"/>
      <c r="AV88" s="120"/>
      <c r="AW88" s="120"/>
      <c r="AX88" s="120"/>
      <c r="AY88" s="120" t="s">
        <v>83</v>
      </c>
      <c r="AZ88" s="120"/>
      <c r="BA88" s="120"/>
      <c r="BB88" s="121"/>
      <c r="BC88" s="120"/>
      <c r="BD88" s="120"/>
      <c r="BE88" s="120"/>
      <c r="BF88" s="120" t="s">
        <v>83</v>
      </c>
      <c r="BG88" s="120"/>
      <c r="BH88" s="120"/>
      <c r="BI88" s="120"/>
      <c r="BJ88" s="120"/>
      <c r="BK88" s="120"/>
      <c r="BL88" s="120"/>
      <c r="BM88" s="120" t="s">
        <v>83</v>
      </c>
      <c r="BN88" s="120"/>
      <c r="BO88" s="120"/>
      <c r="BP88" s="120"/>
      <c r="BQ88" s="120"/>
      <c r="BR88" s="120"/>
      <c r="BS88" s="120"/>
      <c r="BT88" s="120" t="s">
        <v>83</v>
      </c>
      <c r="BU88" s="120"/>
      <c r="BV88" s="120"/>
      <c r="BW88" s="120"/>
      <c r="BX88" s="120"/>
      <c r="BY88" s="120"/>
      <c r="BZ88" s="120"/>
      <c r="CA88" s="120" t="s">
        <v>83</v>
      </c>
      <c r="CB88" s="120"/>
      <c r="CC88" s="120"/>
      <c r="CD88" s="120"/>
      <c r="CE88" s="120"/>
      <c r="CF88" s="120"/>
      <c r="CG88" s="120"/>
      <c r="CH88" s="120"/>
      <c r="CI88" s="120">
        <f t="shared" si="36"/>
        <v>0</v>
      </c>
      <c r="CJ88" s="120"/>
      <c r="CK88" s="120"/>
      <c r="CL88" s="120"/>
      <c r="CM88" s="120"/>
    </row>
    <row r="89" spans="1:91" hidden="1" x14ac:dyDescent="0.2">
      <c r="A89" s="120"/>
      <c r="B89" s="120">
        <f>COUNTIF($D$7:$D$8,"Fagdag")</f>
        <v>0</v>
      </c>
      <c r="C89" s="120"/>
      <c r="D89" s="120"/>
      <c r="E89" s="120"/>
      <c r="F89" s="120"/>
      <c r="G89" s="120"/>
      <c r="H89" s="120"/>
      <c r="I89" s="120">
        <f>COUNTIF($K$5,"Fagdag")</f>
        <v>0</v>
      </c>
      <c r="J89" s="120"/>
      <c r="K89" s="120"/>
      <c r="L89" s="120"/>
      <c r="M89" s="120"/>
      <c r="N89" s="120"/>
      <c r="O89" s="120"/>
      <c r="P89" s="120">
        <f>COUNTIF($R$9:$R$10,"Fagdag")</f>
        <v>0</v>
      </c>
      <c r="Q89" s="120"/>
      <c r="R89" s="120"/>
      <c r="S89" s="120"/>
      <c r="T89" s="120"/>
      <c r="U89" s="120"/>
      <c r="V89" s="120"/>
      <c r="W89" s="120">
        <f>COUNTIF($Y$6:$Y$7,"Fagdag")</f>
        <v>0</v>
      </c>
      <c r="X89" s="120"/>
      <c r="Y89" s="120"/>
      <c r="Z89" s="120"/>
      <c r="AA89" s="120"/>
      <c r="AB89" s="120"/>
      <c r="AC89" s="120"/>
      <c r="AD89" s="120">
        <f>COUNTIF($AF$5,"Fagdag")</f>
        <v>0</v>
      </c>
      <c r="AE89" s="120"/>
      <c r="AF89" s="120"/>
      <c r="AG89" s="120"/>
      <c r="AH89" s="120"/>
      <c r="AI89" s="120"/>
      <c r="AJ89" s="120"/>
      <c r="AK89" s="120">
        <f>COUNTIF($AM$8:$AM$9,"Fagdag")</f>
        <v>0</v>
      </c>
      <c r="AL89" s="120"/>
      <c r="AM89" s="120"/>
      <c r="AN89" s="121"/>
      <c r="AO89" s="120"/>
      <c r="AP89" s="120"/>
      <c r="AQ89" s="120"/>
      <c r="AR89" s="120">
        <f>COUNTIF($AT$5:$AT$6,"Fagdag")</f>
        <v>0</v>
      </c>
      <c r="AS89" s="120"/>
      <c r="AT89" s="120"/>
      <c r="AU89" s="121"/>
      <c r="AV89" s="120"/>
      <c r="AW89" s="120"/>
      <c r="AX89" s="120"/>
      <c r="AY89" s="120">
        <f>COUNTIF($BA$5:$BA$6,"Fagdag")</f>
        <v>0</v>
      </c>
      <c r="AZ89" s="120"/>
      <c r="BA89" s="120"/>
      <c r="BB89" s="121"/>
      <c r="BC89" s="120"/>
      <c r="BD89" s="120"/>
      <c r="BE89" s="120"/>
      <c r="BF89" s="120">
        <f>COUNTIF($BH$9:$BH$10,"Fagdag")</f>
        <v>0</v>
      </c>
      <c r="BG89" s="120"/>
      <c r="BH89" s="120"/>
      <c r="BI89" s="120"/>
      <c r="BJ89" s="120"/>
      <c r="BK89" s="120"/>
      <c r="BL89" s="120"/>
      <c r="BM89" s="120">
        <f>COUNTIF($BO$7:$BO$8,"Fagdag")</f>
        <v>0</v>
      </c>
      <c r="BN89" s="120"/>
      <c r="BO89" s="120"/>
      <c r="BP89" s="120"/>
      <c r="BQ89" s="120"/>
      <c r="BR89" s="120"/>
      <c r="BS89" s="120"/>
      <c r="BT89" s="120">
        <f>COUNTIF($BV$5,"Fagdag")</f>
        <v>0</v>
      </c>
      <c r="BU89" s="120"/>
      <c r="BV89" s="120"/>
      <c r="BW89" s="120"/>
      <c r="BX89" s="120"/>
      <c r="BY89" s="120"/>
      <c r="BZ89" s="120"/>
      <c r="CA89" s="120">
        <f>COUNTIF($CC$9:$CC$10,"Fagdag")</f>
        <v>0</v>
      </c>
      <c r="CB89" s="120"/>
      <c r="CC89" s="120"/>
      <c r="CD89" s="120"/>
      <c r="CE89" s="120"/>
      <c r="CF89" s="120"/>
      <c r="CG89" s="120"/>
      <c r="CH89" s="120"/>
      <c r="CI89" s="120">
        <f t="shared" si="36"/>
        <v>0</v>
      </c>
      <c r="CJ89" s="120"/>
      <c r="CK89" s="120"/>
      <c r="CL89" s="120"/>
      <c r="CM89" s="120"/>
    </row>
    <row r="90" spans="1:91" hidden="1" x14ac:dyDescent="0.2">
      <c r="A90" s="120"/>
      <c r="B90" s="120">
        <f>COUNTIF($D$14:$D$15,"Fagdag")</f>
        <v>0</v>
      </c>
      <c r="C90" s="120"/>
      <c r="D90" s="120"/>
      <c r="E90" s="120"/>
      <c r="F90" s="120"/>
      <c r="G90" s="120"/>
      <c r="H90" s="120"/>
      <c r="I90" s="120">
        <f>COUNTIF($K$11:$K$12,"Fagdag")</f>
        <v>0</v>
      </c>
      <c r="J90" s="120"/>
      <c r="K90" s="120"/>
      <c r="L90" s="120"/>
      <c r="M90" s="120"/>
      <c r="N90" s="120"/>
      <c r="O90" s="120"/>
      <c r="P90" s="120">
        <f>COUNTIF($R$16:$R$17,"Fagdag")</f>
        <v>0</v>
      </c>
      <c r="Q90" s="120"/>
      <c r="R90" s="120"/>
      <c r="S90" s="120"/>
      <c r="T90" s="120"/>
      <c r="U90" s="120"/>
      <c r="V90" s="120"/>
      <c r="W90" s="120">
        <f>COUNTIF($Y$13:$Y$14,"Fagdag")</f>
        <v>0</v>
      </c>
      <c r="X90" s="120"/>
      <c r="Y90" s="120"/>
      <c r="Z90" s="120"/>
      <c r="AA90" s="120"/>
      <c r="AB90" s="120"/>
      <c r="AC90" s="120"/>
      <c r="AD90" s="120">
        <f>COUNTIF($AF$11:$AF$12,"Fagdag")</f>
        <v>0</v>
      </c>
      <c r="AE90" s="120"/>
      <c r="AF90" s="120"/>
      <c r="AG90" s="120"/>
      <c r="AH90" s="120"/>
      <c r="AI90" s="120"/>
      <c r="AJ90" s="120"/>
      <c r="AK90" s="120">
        <f>COUNTIF($AM$15:$AM$16,"Fagdag")</f>
        <v>0</v>
      </c>
      <c r="AL90" s="120"/>
      <c r="AM90" s="120"/>
      <c r="AN90" s="121"/>
      <c r="AO90" s="120"/>
      <c r="AP90" s="120"/>
      <c r="AQ90" s="120"/>
      <c r="AR90" s="120">
        <f>COUNTIF($AT$12:$AT$13,"Fagdag")</f>
        <v>0</v>
      </c>
      <c r="AS90" s="120"/>
      <c r="AT90" s="120"/>
      <c r="AU90" s="121"/>
      <c r="AV90" s="120"/>
      <c r="AW90" s="120"/>
      <c r="AX90" s="120"/>
      <c r="AY90" s="120">
        <f>COUNTIF($BA$12:$BA$13,"Fagdag")</f>
        <v>0</v>
      </c>
      <c r="AZ90" s="120"/>
      <c r="BA90" s="120"/>
      <c r="BB90" s="121"/>
      <c r="BC90" s="120"/>
      <c r="BD90" s="120"/>
      <c r="BE90" s="120"/>
      <c r="BF90" s="120">
        <f>COUNTIF($BH$16:$BH$17,"Fagdag")</f>
        <v>0</v>
      </c>
      <c r="BG90" s="120"/>
      <c r="BH90" s="120"/>
      <c r="BI90" s="120"/>
      <c r="BJ90" s="120"/>
      <c r="BK90" s="120"/>
      <c r="BL90" s="120"/>
      <c r="BM90" s="120">
        <f>COUNTIF($BO$14:$BO$15,"Fagdag")</f>
        <v>0</v>
      </c>
      <c r="BN90" s="120"/>
      <c r="BO90" s="120"/>
      <c r="BP90" s="120"/>
      <c r="BQ90" s="120"/>
      <c r="BR90" s="120"/>
      <c r="BS90" s="120"/>
      <c r="BT90" s="120">
        <f>COUNTIF($BV$11:$BV$12,"Fagdag")</f>
        <v>0</v>
      </c>
      <c r="BU90" s="120"/>
      <c r="BV90" s="120"/>
      <c r="BW90" s="120"/>
      <c r="BX90" s="120"/>
      <c r="BY90" s="120"/>
      <c r="BZ90" s="120"/>
      <c r="CA90" s="120">
        <f>COUNTIF($CC$16:$CC$17,"Fagdag")</f>
        <v>0</v>
      </c>
      <c r="CB90" s="120"/>
      <c r="CC90" s="120"/>
      <c r="CD90" s="120"/>
      <c r="CE90" s="120"/>
      <c r="CF90" s="120"/>
      <c r="CG90" s="120"/>
      <c r="CH90" s="120"/>
      <c r="CI90" s="120">
        <f t="shared" si="36"/>
        <v>0</v>
      </c>
      <c r="CJ90" s="120"/>
      <c r="CK90" s="120"/>
      <c r="CL90" s="120"/>
      <c r="CM90" s="120"/>
    </row>
    <row r="91" spans="1:91" hidden="1" x14ac:dyDescent="0.2">
      <c r="A91" s="120"/>
      <c r="B91" s="120">
        <f>COUNTIF($D$21:$D$22,"Fagdag")</f>
        <v>0</v>
      </c>
      <c r="C91" s="120"/>
      <c r="D91" s="120"/>
      <c r="E91" s="120"/>
      <c r="F91" s="120"/>
      <c r="G91" s="120"/>
      <c r="H91" s="120"/>
      <c r="I91" s="120">
        <f>COUNTIF($K$18:$K$19,"Fagdag")</f>
        <v>0</v>
      </c>
      <c r="J91" s="120"/>
      <c r="K91" s="120"/>
      <c r="L91" s="120"/>
      <c r="M91" s="120"/>
      <c r="N91" s="120"/>
      <c r="O91" s="120"/>
      <c r="P91" s="120">
        <f>COUNTIF($R$23:$R$24,"Fagdag")</f>
        <v>0</v>
      </c>
      <c r="Q91" s="120"/>
      <c r="R91" s="120"/>
      <c r="S91" s="120"/>
      <c r="T91" s="120"/>
      <c r="U91" s="120"/>
      <c r="V91" s="120"/>
      <c r="W91" s="120">
        <f>COUNTIF($Y$20:$Y$21,"Fagdag")</f>
        <v>0</v>
      </c>
      <c r="X91" s="120"/>
      <c r="Y91" s="120"/>
      <c r="Z91" s="120"/>
      <c r="AA91" s="120"/>
      <c r="AB91" s="120"/>
      <c r="AC91" s="120"/>
      <c r="AD91" s="120">
        <f>COUNTIF($AF$18:$AF$19,"Fagdag")</f>
        <v>0</v>
      </c>
      <c r="AE91" s="120"/>
      <c r="AF91" s="120"/>
      <c r="AG91" s="120"/>
      <c r="AH91" s="120"/>
      <c r="AI91" s="120"/>
      <c r="AJ91" s="120"/>
      <c r="AK91" s="120">
        <f>COUNTIF($AM$22:$AM$23,"Fagdag")</f>
        <v>0</v>
      </c>
      <c r="AL91" s="120"/>
      <c r="AM91" s="120"/>
      <c r="AN91" s="121"/>
      <c r="AO91" s="120"/>
      <c r="AP91" s="120"/>
      <c r="AQ91" s="120"/>
      <c r="AR91" s="120">
        <f>COUNTIF($AT$19:$AT$20,"Fagdag")</f>
        <v>0</v>
      </c>
      <c r="AS91" s="120"/>
      <c r="AT91" s="120"/>
      <c r="AU91" s="121"/>
      <c r="AV91" s="120"/>
      <c r="AW91" s="120"/>
      <c r="AX91" s="120"/>
      <c r="AY91" s="120">
        <f>COUNTIF($BA$19:$BA$20,"Fagdag")</f>
        <v>0</v>
      </c>
      <c r="AZ91" s="120"/>
      <c r="BA91" s="120"/>
      <c r="BB91" s="121"/>
      <c r="BC91" s="120"/>
      <c r="BD91" s="120"/>
      <c r="BE91" s="120"/>
      <c r="BF91" s="120">
        <f>COUNTIF($BH$23:$BH$24,"Fagdag")</f>
        <v>0</v>
      </c>
      <c r="BG91" s="120"/>
      <c r="BH91" s="120"/>
      <c r="BI91" s="120"/>
      <c r="BJ91" s="120"/>
      <c r="BK91" s="120"/>
      <c r="BL91" s="120"/>
      <c r="BM91" s="120">
        <f>COUNTIF($BO$21:$BO$22,"Fagdag")</f>
        <v>0</v>
      </c>
      <c r="BN91" s="120"/>
      <c r="BO91" s="120"/>
      <c r="BP91" s="120"/>
      <c r="BQ91" s="120"/>
      <c r="BR91" s="120"/>
      <c r="BS91" s="120"/>
      <c r="BT91" s="120">
        <f>COUNTIF($BV$18:$BV$19,"Fagdag")</f>
        <v>0</v>
      </c>
      <c r="BU91" s="120"/>
      <c r="BV91" s="120"/>
      <c r="BW91" s="120"/>
      <c r="BX91" s="120"/>
      <c r="BY91" s="120"/>
      <c r="BZ91" s="120"/>
      <c r="CA91" s="120">
        <f>COUNTIF($CC$23:$CC$24,"Fagdag")</f>
        <v>0</v>
      </c>
      <c r="CB91" s="120"/>
      <c r="CC91" s="120"/>
      <c r="CD91" s="120"/>
      <c r="CE91" s="120"/>
      <c r="CF91" s="120"/>
      <c r="CG91" s="120"/>
      <c r="CH91" s="120"/>
      <c r="CI91" s="120">
        <f t="shared" si="36"/>
        <v>0</v>
      </c>
      <c r="CJ91" s="120"/>
      <c r="CK91" s="120"/>
      <c r="CL91" s="120"/>
      <c r="CM91" s="120"/>
    </row>
    <row r="92" spans="1:91" hidden="1" x14ac:dyDescent="0.2">
      <c r="A92" s="120"/>
      <c r="B92" s="120">
        <f>COUNTIF($D$28:$D$29,"Fagdag")</f>
        <v>0</v>
      </c>
      <c r="C92" s="120"/>
      <c r="D92" s="120"/>
      <c r="E92" s="120"/>
      <c r="F92" s="120"/>
      <c r="G92" s="120"/>
      <c r="H92" s="120"/>
      <c r="I92" s="120">
        <f>COUNTIF($K$25:$K$26,"Fagdag")</f>
        <v>0</v>
      </c>
      <c r="J92" s="120"/>
      <c r="K92" s="120"/>
      <c r="L92" s="120"/>
      <c r="M92" s="120"/>
      <c r="N92" s="120"/>
      <c r="O92" s="120"/>
      <c r="P92" s="120">
        <f>COUNTIF($R$30:$R$31,"Fagdag")</f>
        <v>0</v>
      </c>
      <c r="Q92" s="120"/>
      <c r="R92" s="120"/>
      <c r="S92" s="120"/>
      <c r="T92" s="120"/>
      <c r="U92" s="120"/>
      <c r="V92" s="120"/>
      <c r="W92" s="120">
        <f>COUNTIF($Y$27:$Y$28,"Fagdag")</f>
        <v>0</v>
      </c>
      <c r="X92" s="120"/>
      <c r="Y92" s="120"/>
      <c r="Z92" s="120"/>
      <c r="AA92" s="120"/>
      <c r="AB92" s="120"/>
      <c r="AC92" s="120"/>
      <c r="AD92" s="120">
        <f>COUNTIF($AF$25:$AF$26,"Fagdag")</f>
        <v>0</v>
      </c>
      <c r="AE92" s="120"/>
      <c r="AF92" s="120"/>
      <c r="AG92" s="120"/>
      <c r="AH92" s="120"/>
      <c r="AI92" s="120"/>
      <c r="AJ92" s="120"/>
      <c r="AK92" s="120">
        <f>COUNTIF($AM$29:$AM$30,"Fagdag")</f>
        <v>0</v>
      </c>
      <c r="AL92" s="120"/>
      <c r="AM92" s="120"/>
      <c r="AN92" s="121"/>
      <c r="AO92" s="120"/>
      <c r="AP92" s="120"/>
      <c r="AQ92" s="120"/>
      <c r="AR92" s="120">
        <f>COUNTIF($AT$26:$AT$27,"Fagdag")</f>
        <v>0</v>
      </c>
      <c r="AS92" s="120"/>
      <c r="AT92" s="120"/>
      <c r="AU92" s="121"/>
      <c r="AV92" s="120"/>
      <c r="AW92" s="120"/>
      <c r="AX92" s="120"/>
      <c r="AY92" s="120">
        <f>COUNTIF($BA$26:$BA$27,"Fagdag")</f>
        <v>0</v>
      </c>
      <c r="AZ92" s="120"/>
      <c r="BA92" s="120"/>
      <c r="BB92" s="121"/>
      <c r="BC92" s="120"/>
      <c r="BD92" s="120"/>
      <c r="BE92" s="120"/>
      <c r="BF92" s="120">
        <f>COUNTIF($BH$30:$BH$31,"Fagdag")</f>
        <v>0</v>
      </c>
      <c r="BG92" s="120"/>
      <c r="BH92" s="120"/>
      <c r="BI92" s="120"/>
      <c r="BJ92" s="120"/>
      <c r="BK92" s="120"/>
      <c r="BL92" s="120"/>
      <c r="BM92" s="120">
        <f>COUNTIF($BO$28:$BO$29,"Fagdag")</f>
        <v>0</v>
      </c>
      <c r="BN92" s="120"/>
      <c r="BO92" s="120"/>
      <c r="BP92" s="120"/>
      <c r="BQ92" s="120"/>
      <c r="BR92" s="120"/>
      <c r="BS92" s="120"/>
      <c r="BT92" s="120">
        <f>COUNTIF($BV$25:$BV$26,"Fagdag")</f>
        <v>0</v>
      </c>
      <c r="BU92" s="120"/>
      <c r="BV92" s="120"/>
      <c r="BW92" s="120"/>
      <c r="BX92" s="120"/>
      <c r="BY92" s="120"/>
      <c r="BZ92" s="120"/>
      <c r="CA92" s="120">
        <f>COUNTIF($CC$30:$CC$31,"Fagdag")</f>
        <v>0</v>
      </c>
      <c r="CB92" s="120"/>
      <c r="CC92" s="120"/>
      <c r="CD92" s="120"/>
      <c r="CE92" s="120"/>
      <c r="CF92" s="120"/>
      <c r="CG92" s="120"/>
      <c r="CH92" s="120"/>
      <c r="CI92" s="120">
        <f t="shared" si="36"/>
        <v>0</v>
      </c>
      <c r="CJ92" s="120"/>
      <c r="CK92" s="120"/>
      <c r="CL92" s="120"/>
      <c r="CM92" s="120"/>
    </row>
    <row r="93" spans="1:91" hidden="1" x14ac:dyDescent="0.2">
      <c r="A93" s="120"/>
      <c r="B93" s="120">
        <f>COUNTIF($D$35,"Fagdag")</f>
        <v>0</v>
      </c>
      <c r="C93" s="120"/>
      <c r="D93" s="120"/>
      <c r="E93" s="120"/>
      <c r="F93" s="120"/>
      <c r="G93" s="120"/>
      <c r="H93" s="120"/>
      <c r="I93" s="120">
        <f>COUNTIF($K$32:$K$33,"Fagdag")</f>
        <v>0</v>
      </c>
      <c r="J93" s="120"/>
      <c r="K93" s="120"/>
      <c r="L93" s="120"/>
      <c r="M93" s="120"/>
      <c r="N93" s="120"/>
      <c r="O93" s="120"/>
      <c r="P93" s="120"/>
      <c r="Q93" s="120"/>
      <c r="R93" s="120"/>
      <c r="S93" s="120"/>
      <c r="T93" s="120"/>
      <c r="U93" s="120"/>
      <c r="V93" s="120"/>
      <c r="W93" s="120">
        <f>COUNTIF($Y$34,"Fagdag")</f>
        <v>0</v>
      </c>
      <c r="X93" s="120"/>
      <c r="Y93" s="120"/>
      <c r="Z93" s="120"/>
      <c r="AA93" s="120"/>
      <c r="AB93" s="120"/>
      <c r="AC93" s="120"/>
      <c r="AD93" s="120">
        <f>COUNTIF($AF$32:$AF$33,"Fagdag")</f>
        <v>0</v>
      </c>
      <c r="AE93" s="120"/>
      <c r="AF93" s="120"/>
      <c r="AG93" s="120"/>
      <c r="AH93" s="120"/>
      <c r="AI93" s="120"/>
      <c r="AJ93" s="120"/>
      <c r="AK93" s="120"/>
      <c r="AL93" s="120"/>
      <c r="AM93" s="120"/>
      <c r="AN93" s="121"/>
      <c r="AO93" s="120"/>
      <c r="AP93" s="120"/>
      <c r="AQ93" s="120"/>
      <c r="AR93" s="120"/>
      <c r="AS93" s="120"/>
      <c r="AT93" s="120"/>
      <c r="AU93" s="121"/>
      <c r="AV93" s="120"/>
      <c r="AW93" s="120"/>
      <c r="AX93" s="120"/>
      <c r="AY93" s="120">
        <f>COUNTIF($BA$33:$BA$34,"Fagdag")</f>
        <v>0</v>
      </c>
      <c r="AZ93" s="120"/>
      <c r="BA93" s="120"/>
      <c r="BB93" s="121"/>
      <c r="BC93" s="120"/>
      <c r="BD93" s="120"/>
      <c r="BE93" s="120"/>
      <c r="BF93" s="120"/>
      <c r="BG93" s="120"/>
      <c r="BH93" s="120"/>
      <c r="BI93" s="120"/>
      <c r="BJ93" s="120"/>
      <c r="BK93" s="120"/>
      <c r="BL93" s="120"/>
      <c r="BM93" s="120">
        <f>COUNTIF($BO$35,"Fagdag")</f>
        <v>0</v>
      </c>
      <c r="BN93" s="120"/>
      <c r="BO93" s="120"/>
      <c r="BP93" s="120"/>
      <c r="BQ93" s="120"/>
      <c r="BR93" s="120"/>
      <c r="BS93" s="120"/>
      <c r="BT93" s="120">
        <f>COUNTIF($BV$32:$BV$33,"Fagdag")</f>
        <v>0</v>
      </c>
      <c r="BU93" s="120"/>
      <c r="BV93" s="120"/>
      <c r="BW93" s="120"/>
      <c r="BX93" s="120"/>
      <c r="BY93" s="120"/>
      <c r="BZ93" s="120"/>
      <c r="CA93" s="120"/>
      <c r="CB93" s="120"/>
      <c r="CC93" s="120"/>
      <c r="CD93" s="120"/>
      <c r="CE93" s="120"/>
      <c r="CF93" s="120"/>
      <c r="CG93" s="120"/>
      <c r="CH93" s="120"/>
      <c r="CI93" s="120">
        <f t="shared" si="36"/>
        <v>0</v>
      </c>
      <c r="CJ93" s="120"/>
      <c r="CK93" s="120"/>
      <c r="CL93" s="120"/>
      <c r="CM93" s="120"/>
    </row>
    <row r="94" spans="1:91" hidden="1" x14ac:dyDescent="0.2">
      <c r="A94" s="120"/>
      <c r="B94" s="120" t="s">
        <v>133</v>
      </c>
      <c r="C94" s="120"/>
      <c r="D94" s="120"/>
      <c r="E94" s="120"/>
      <c r="F94" s="120"/>
      <c r="G94" s="120"/>
      <c r="H94" s="120"/>
      <c r="I94" s="120" t="s">
        <v>133</v>
      </c>
      <c r="J94" s="120"/>
      <c r="K94" s="120"/>
      <c r="L94" s="120"/>
      <c r="M94" s="120"/>
      <c r="N94" s="120"/>
      <c r="O94" s="120"/>
      <c r="P94" s="120" t="s">
        <v>133</v>
      </c>
      <c r="Q94" s="120"/>
      <c r="R94" s="120"/>
      <c r="S94" s="120"/>
      <c r="T94" s="120"/>
      <c r="U94" s="120"/>
      <c r="V94" s="120"/>
      <c r="W94" s="120" t="s">
        <v>133</v>
      </c>
      <c r="X94" s="120"/>
      <c r="Y94" s="120"/>
      <c r="Z94" s="120"/>
      <c r="AA94" s="120"/>
      <c r="AB94" s="120"/>
      <c r="AC94" s="120"/>
      <c r="AD94" s="120" t="s">
        <v>133</v>
      </c>
      <c r="AE94" s="120"/>
      <c r="AF94" s="120"/>
      <c r="AG94" s="120"/>
      <c r="AH94" s="120"/>
      <c r="AI94" s="120"/>
      <c r="AJ94" s="120"/>
      <c r="AK94" s="120" t="s">
        <v>133</v>
      </c>
      <c r="AL94" s="120"/>
      <c r="AM94" s="120"/>
      <c r="AN94" s="121"/>
      <c r="AO94" s="120"/>
      <c r="AP94" s="120"/>
      <c r="AQ94" s="120"/>
      <c r="AR94" s="120" t="s">
        <v>133</v>
      </c>
      <c r="AS94" s="120"/>
      <c r="AT94" s="120"/>
      <c r="AU94" s="121"/>
      <c r="AV94" s="120"/>
      <c r="AW94" s="120"/>
      <c r="AX94" s="120"/>
      <c r="AY94" s="120" t="s">
        <v>133</v>
      </c>
      <c r="AZ94" s="120"/>
      <c r="BA94" s="120"/>
      <c r="BB94" s="121"/>
      <c r="BC94" s="120"/>
      <c r="BD94" s="120"/>
      <c r="BE94" s="120"/>
      <c r="BF94" s="120" t="s">
        <v>133</v>
      </c>
      <c r="BG94" s="120"/>
      <c r="BH94" s="120"/>
      <c r="BI94" s="120"/>
      <c r="BJ94" s="120"/>
      <c r="BK94" s="120"/>
      <c r="BL94" s="120"/>
      <c r="BM94" s="120" t="s">
        <v>133</v>
      </c>
      <c r="BN94" s="120"/>
      <c r="BO94" s="120"/>
      <c r="BP94" s="120"/>
      <c r="BQ94" s="120"/>
      <c r="BR94" s="120"/>
      <c r="BS94" s="120"/>
      <c r="BT94" s="120" t="s">
        <v>133</v>
      </c>
      <c r="BU94" s="120"/>
      <c r="BV94" s="120"/>
      <c r="BW94" s="120"/>
      <c r="BX94" s="120"/>
      <c r="BY94" s="120"/>
      <c r="BZ94" s="120"/>
      <c r="CA94" s="120" t="s">
        <v>133</v>
      </c>
      <c r="CB94" s="120"/>
      <c r="CC94" s="120"/>
      <c r="CD94" s="120"/>
      <c r="CE94" s="120"/>
      <c r="CF94" s="120"/>
      <c r="CG94" s="120"/>
      <c r="CH94" s="120"/>
      <c r="CI94" s="120">
        <f t="shared" si="36"/>
        <v>0</v>
      </c>
      <c r="CJ94" s="120"/>
      <c r="CK94" s="120"/>
      <c r="CL94" s="120"/>
      <c r="CM94" s="120"/>
    </row>
    <row r="95" spans="1:91" hidden="1" x14ac:dyDescent="0.2">
      <c r="A95" s="120"/>
      <c r="B95" s="120">
        <f>COUNTIF($D$7:$D$8,"Emnedag")</f>
        <v>0</v>
      </c>
      <c r="C95" s="120"/>
      <c r="D95" s="120"/>
      <c r="E95" s="120"/>
      <c r="F95" s="120"/>
      <c r="G95" s="120"/>
      <c r="H95" s="120"/>
      <c r="I95" s="120">
        <f>COUNTIF($K$5,"Emnedag")</f>
        <v>0</v>
      </c>
      <c r="J95" s="120"/>
      <c r="K95" s="120"/>
      <c r="L95" s="120"/>
      <c r="M95" s="120"/>
      <c r="N95" s="120"/>
      <c r="O95" s="120"/>
      <c r="P95" s="120">
        <f>COUNTIF($R$9:$R$10,"Emnedag")</f>
        <v>0</v>
      </c>
      <c r="Q95" s="120"/>
      <c r="R95" s="120"/>
      <c r="S95" s="120"/>
      <c r="T95" s="120"/>
      <c r="U95" s="120"/>
      <c r="V95" s="120"/>
      <c r="W95" s="120">
        <f>COUNTIF($Y$6:$Y$7,"Emnedag")</f>
        <v>0</v>
      </c>
      <c r="X95" s="120"/>
      <c r="Y95" s="120"/>
      <c r="Z95" s="120"/>
      <c r="AA95" s="120"/>
      <c r="AB95" s="120"/>
      <c r="AC95" s="120"/>
      <c r="AD95" s="120">
        <f>COUNTIF($AF$5,"Emnedag")</f>
        <v>0</v>
      </c>
      <c r="AE95" s="120"/>
      <c r="AF95" s="120"/>
      <c r="AG95" s="120"/>
      <c r="AH95" s="120"/>
      <c r="AI95" s="120"/>
      <c r="AJ95" s="120"/>
      <c r="AK95" s="120">
        <f>COUNTIF($AM$8:$AM$9,"Emnedag")</f>
        <v>0</v>
      </c>
      <c r="AL95" s="120"/>
      <c r="AM95" s="120"/>
      <c r="AN95" s="121"/>
      <c r="AO95" s="120"/>
      <c r="AP95" s="120"/>
      <c r="AQ95" s="120"/>
      <c r="AR95" s="120">
        <f>COUNTIF($AT$5:$AT$6,"Emnedag")</f>
        <v>0</v>
      </c>
      <c r="AS95" s="120"/>
      <c r="AT95" s="120"/>
      <c r="AU95" s="121"/>
      <c r="AV95" s="120"/>
      <c r="AW95" s="120"/>
      <c r="AX95" s="120"/>
      <c r="AY95" s="120">
        <f>COUNTIF($BA$5:$BA$6,"Emnedag")</f>
        <v>0</v>
      </c>
      <c r="AZ95" s="120"/>
      <c r="BA95" s="120"/>
      <c r="BB95" s="121"/>
      <c r="BC95" s="120"/>
      <c r="BD95" s="120"/>
      <c r="BE95" s="120"/>
      <c r="BF95" s="120">
        <f>COUNTIF($BH$9:$BH$10,"Emnedag")</f>
        <v>0</v>
      </c>
      <c r="BG95" s="120"/>
      <c r="BH95" s="120"/>
      <c r="BI95" s="120"/>
      <c r="BJ95" s="120"/>
      <c r="BK95" s="120"/>
      <c r="BL95" s="120"/>
      <c r="BM95" s="120">
        <f>COUNTIF($BO$7:$BO$8,"Emnedag")</f>
        <v>0</v>
      </c>
      <c r="BN95" s="120"/>
      <c r="BO95" s="120"/>
      <c r="BP95" s="120"/>
      <c r="BQ95" s="120"/>
      <c r="BR95" s="120"/>
      <c r="BS95" s="120"/>
      <c r="BT95" s="120">
        <f>COUNTIF($BV$5,"Emnedag")</f>
        <v>0</v>
      </c>
      <c r="BU95" s="120"/>
      <c r="BV95" s="120"/>
      <c r="BW95" s="120"/>
      <c r="BX95" s="120"/>
      <c r="BY95" s="120"/>
      <c r="BZ95" s="120"/>
      <c r="CA95" s="120">
        <f>COUNTIF($CC$9:$CC$10,"Emnedag")</f>
        <v>0</v>
      </c>
      <c r="CB95" s="120"/>
      <c r="CC95" s="120"/>
      <c r="CD95" s="120"/>
      <c r="CE95" s="120"/>
      <c r="CF95" s="120"/>
      <c r="CG95" s="120"/>
      <c r="CH95" s="120"/>
      <c r="CI95" s="120">
        <f t="shared" si="36"/>
        <v>0</v>
      </c>
      <c r="CJ95" s="120"/>
      <c r="CK95" s="120"/>
      <c r="CL95" s="120"/>
      <c r="CM95" s="120"/>
    </row>
    <row r="96" spans="1:91" hidden="1" x14ac:dyDescent="0.2">
      <c r="A96" s="120"/>
      <c r="B96" s="120">
        <f>COUNTIF($D$14:$D$15,"Emnedag")</f>
        <v>0</v>
      </c>
      <c r="C96" s="120"/>
      <c r="D96" s="120"/>
      <c r="E96" s="120"/>
      <c r="F96" s="120"/>
      <c r="G96" s="120"/>
      <c r="H96" s="120"/>
      <c r="I96" s="120">
        <f>COUNTIF($K$11:$K$12,"Emnedag")</f>
        <v>0</v>
      </c>
      <c r="J96" s="120"/>
      <c r="K96" s="120"/>
      <c r="L96" s="120"/>
      <c r="M96" s="120"/>
      <c r="N96" s="120"/>
      <c r="O96" s="120"/>
      <c r="P96" s="120">
        <f>COUNTIF($R$16:$R$17,"Emnedag")</f>
        <v>0</v>
      </c>
      <c r="Q96" s="120"/>
      <c r="R96" s="120"/>
      <c r="S96" s="120"/>
      <c r="T96" s="120"/>
      <c r="U96" s="120"/>
      <c r="V96" s="120"/>
      <c r="W96" s="120">
        <f>COUNTIF($Y$13:$Y$14,"Emnedag")</f>
        <v>0</v>
      </c>
      <c r="X96" s="120"/>
      <c r="Y96" s="120"/>
      <c r="Z96" s="120"/>
      <c r="AA96" s="120"/>
      <c r="AB96" s="120"/>
      <c r="AC96" s="120"/>
      <c r="AD96" s="120">
        <f>COUNTIF($AF$11:$AF$12,"Emnedag")</f>
        <v>0</v>
      </c>
      <c r="AE96" s="120"/>
      <c r="AF96" s="120"/>
      <c r="AG96" s="120"/>
      <c r="AH96" s="120"/>
      <c r="AI96" s="120"/>
      <c r="AJ96" s="120"/>
      <c r="AK96" s="120">
        <f>COUNTIF($AM$15:$AM$16,"Emnedag")</f>
        <v>0</v>
      </c>
      <c r="AL96" s="120"/>
      <c r="AM96" s="120"/>
      <c r="AN96" s="121"/>
      <c r="AO96" s="120"/>
      <c r="AP96" s="120"/>
      <c r="AQ96" s="120"/>
      <c r="AR96" s="120">
        <f>COUNTIF($AT$12:$AT$13,"Emnedag")</f>
        <v>0</v>
      </c>
      <c r="AS96" s="120"/>
      <c r="AT96" s="120"/>
      <c r="AU96" s="121"/>
      <c r="AV96" s="120"/>
      <c r="AW96" s="120"/>
      <c r="AX96" s="120"/>
      <c r="AY96" s="120">
        <f>COUNTIF($BA$12:$BA$13,"Emnedag")</f>
        <v>0</v>
      </c>
      <c r="AZ96" s="120"/>
      <c r="BA96" s="120"/>
      <c r="BB96" s="121"/>
      <c r="BC96" s="120"/>
      <c r="BD96" s="120"/>
      <c r="BE96" s="120"/>
      <c r="BF96" s="120">
        <f>COUNTIF($BH$16:$BH$17,"Emnedag")</f>
        <v>0</v>
      </c>
      <c r="BG96" s="120"/>
      <c r="BH96" s="120"/>
      <c r="BI96" s="120"/>
      <c r="BJ96" s="120"/>
      <c r="BK96" s="120"/>
      <c r="BL96" s="120"/>
      <c r="BM96" s="120">
        <f>COUNTIF($BO$14:$BO$15,"Emnedag")</f>
        <v>0</v>
      </c>
      <c r="BN96" s="120"/>
      <c r="BO96" s="120"/>
      <c r="BP96" s="120"/>
      <c r="BQ96" s="120"/>
      <c r="BR96" s="120"/>
      <c r="BS96" s="120"/>
      <c r="BT96" s="120">
        <f>COUNTIF($BV$11:$BV$12,"Emnedag")</f>
        <v>0</v>
      </c>
      <c r="BU96" s="120"/>
      <c r="BV96" s="120"/>
      <c r="BW96" s="120"/>
      <c r="BX96" s="120"/>
      <c r="BY96" s="120"/>
      <c r="BZ96" s="120"/>
      <c r="CA96" s="120">
        <f>COUNTIF($CC$16:$CC$17,"Emnedag")</f>
        <v>0</v>
      </c>
      <c r="CB96" s="120"/>
      <c r="CC96" s="120"/>
      <c r="CD96" s="120"/>
      <c r="CE96" s="120"/>
      <c r="CF96" s="120"/>
      <c r="CG96" s="120"/>
      <c r="CH96" s="120"/>
      <c r="CI96" s="120">
        <f t="shared" si="36"/>
        <v>0</v>
      </c>
      <c r="CJ96" s="120"/>
      <c r="CK96" s="120"/>
      <c r="CL96" s="120"/>
      <c r="CM96" s="120"/>
    </row>
    <row r="97" spans="1:91" hidden="1" x14ac:dyDescent="0.2">
      <c r="A97" s="120"/>
      <c r="B97" s="120">
        <f>COUNTIF($D$21:$D$22,"Emnedag")</f>
        <v>0</v>
      </c>
      <c r="C97" s="120"/>
      <c r="D97" s="120"/>
      <c r="E97" s="120"/>
      <c r="F97" s="120"/>
      <c r="G97" s="120"/>
      <c r="H97" s="120"/>
      <c r="I97" s="120">
        <f>COUNTIF($K$18:$K$19,"Emnedag")</f>
        <v>0</v>
      </c>
      <c r="J97" s="120"/>
      <c r="K97" s="120"/>
      <c r="L97" s="120"/>
      <c r="M97" s="120"/>
      <c r="N97" s="120"/>
      <c r="O97" s="120"/>
      <c r="P97" s="120">
        <f>COUNTIF($R$23:$R$24,"Emnedag")</f>
        <v>0</v>
      </c>
      <c r="Q97" s="120"/>
      <c r="R97" s="120"/>
      <c r="S97" s="120"/>
      <c r="T97" s="120"/>
      <c r="U97" s="120"/>
      <c r="V97" s="120"/>
      <c r="W97" s="120">
        <f>COUNTIF($Y$20:$Y$21,"Emnedag")</f>
        <v>0</v>
      </c>
      <c r="X97" s="120"/>
      <c r="Y97" s="120"/>
      <c r="Z97" s="120"/>
      <c r="AA97" s="120"/>
      <c r="AB97" s="120"/>
      <c r="AC97" s="120"/>
      <c r="AD97" s="120">
        <f>COUNTIF($AF$18:$AF$19,"Emnedag")</f>
        <v>0</v>
      </c>
      <c r="AE97" s="120"/>
      <c r="AF97" s="120"/>
      <c r="AG97" s="120"/>
      <c r="AH97" s="120"/>
      <c r="AI97" s="120"/>
      <c r="AJ97" s="120"/>
      <c r="AK97" s="120">
        <f>COUNTIF($AM$22:$AM$23,"Emnedag")</f>
        <v>0</v>
      </c>
      <c r="AL97" s="120"/>
      <c r="AM97" s="120"/>
      <c r="AN97" s="121"/>
      <c r="AO97" s="120"/>
      <c r="AP97" s="120"/>
      <c r="AQ97" s="120"/>
      <c r="AR97" s="120">
        <f>COUNTIF($AT$19:$AT$20,"Emnedag")</f>
        <v>0</v>
      </c>
      <c r="AS97" s="120"/>
      <c r="AT97" s="120"/>
      <c r="AU97" s="121"/>
      <c r="AV97" s="120"/>
      <c r="AW97" s="120"/>
      <c r="AX97" s="120"/>
      <c r="AY97" s="120">
        <f>COUNTIF($BA$19:$BA$20,"Emnedag")</f>
        <v>0</v>
      </c>
      <c r="AZ97" s="120"/>
      <c r="BA97" s="120"/>
      <c r="BB97" s="121"/>
      <c r="BC97" s="120"/>
      <c r="BD97" s="120"/>
      <c r="BE97" s="120"/>
      <c r="BF97" s="120">
        <f>COUNTIF($BH$23:$BH$24,"Emnedag")</f>
        <v>0</v>
      </c>
      <c r="BG97" s="120"/>
      <c r="BH97" s="120"/>
      <c r="BI97" s="120"/>
      <c r="BJ97" s="120"/>
      <c r="BK97" s="120"/>
      <c r="BL97" s="120"/>
      <c r="BM97" s="120">
        <f>COUNTIF($BO$21:$BO$22,"Emnedag")</f>
        <v>0</v>
      </c>
      <c r="BN97" s="120"/>
      <c r="BO97" s="120"/>
      <c r="BP97" s="120"/>
      <c r="BQ97" s="120"/>
      <c r="BR97" s="120"/>
      <c r="BS97" s="120"/>
      <c r="BT97" s="120">
        <f>COUNTIF($BV$18:$BV$19,"Emnedag")</f>
        <v>0</v>
      </c>
      <c r="BU97" s="120"/>
      <c r="BV97" s="120"/>
      <c r="BW97" s="120"/>
      <c r="BX97" s="120"/>
      <c r="BY97" s="120"/>
      <c r="BZ97" s="120"/>
      <c r="CA97" s="120">
        <f>COUNTIF($CC$23:$CC$24,"Emnedag")</f>
        <v>0</v>
      </c>
      <c r="CB97" s="120"/>
      <c r="CC97" s="120"/>
      <c r="CD97" s="120"/>
      <c r="CE97" s="120"/>
      <c r="CF97" s="120"/>
      <c r="CG97" s="120"/>
      <c r="CH97" s="120"/>
      <c r="CI97" s="120">
        <f t="shared" ref="CI97:CI117" si="37">SUM(A97:CH97)</f>
        <v>0</v>
      </c>
      <c r="CJ97" s="120"/>
      <c r="CK97" s="120"/>
      <c r="CL97" s="120"/>
      <c r="CM97" s="120"/>
    </row>
    <row r="98" spans="1:91" hidden="1" x14ac:dyDescent="0.2">
      <c r="A98" s="120"/>
      <c r="B98" s="120">
        <f>COUNTIF($D$28:$D$29,"Emnedag")</f>
        <v>0</v>
      </c>
      <c r="C98" s="120"/>
      <c r="D98" s="120"/>
      <c r="E98" s="120"/>
      <c r="F98" s="120"/>
      <c r="G98" s="120"/>
      <c r="H98" s="120"/>
      <c r="I98" s="120">
        <f>COUNTIF($K$25:$K$26,"Emnedag")</f>
        <v>0</v>
      </c>
      <c r="J98" s="120"/>
      <c r="K98" s="120"/>
      <c r="L98" s="120"/>
      <c r="M98" s="120"/>
      <c r="N98" s="120"/>
      <c r="O98" s="120"/>
      <c r="P98" s="120">
        <f>COUNTIF($R$30:$R$31,"Emnedag")</f>
        <v>0</v>
      </c>
      <c r="Q98" s="120"/>
      <c r="R98" s="120"/>
      <c r="S98" s="120"/>
      <c r="T98" s="120"/>
      <c r="U98" s="120"/>
      <c r="V98" s="120"/>
      <c r="W98" s="120">
        <f>COUNTIF($Y$27:$Y$28,"Emnedag")</f>
        <v>0</v>
      </c>
      <c r="X98" s="120"/>
      <c r="Y98" s="120"/>
      <c r="Z98" s="120"/>
      <c r="AA98" s="120"/>
      <c r="AB98" s="120"/>
      <c r="AC98" s="120"/>
      <c r="AD98" s="120">
        <f>COUNTIF($AF$25:$AF$26,"Emnedag")</f>
        <v>0</v>
      </c>
      <c r="AE98" s="120"/>
      <c r="AF98" s="120"/>
      <c r="AG98" s="120"/>
      <c r="AH98" s="120"/>
      <c r="AI98" s="120"/>
      <c r="AJ98" s="120"/>
      <c r="AK98" s="120">
        <f>COUNTIF($AM$29:$AM$30,"Emnedag")</f>
        <v>0</v>
      </c>
      <c r="AL98" s="120"/>
      <c r="AM98" s="120"/>
      <c r="AN98" s="121"/>
      <c r="AO98" s="120"/>
      <c r="AP98" s="120"/>
      <c r="AQ98" s="120"/>
      <c r="AR98" s="120">
        <f>COUNTIF($AT$26:$AT$27,"Emnedag")</f>
        <v>0</v>
      </c>
      <c r="AS98" s="120"/>
      <c r="AT98" s="120"/>
      <c r="AU98" s="121"/>
      <c r="AV98" s="120"/>
      <c r="AW98" s="120"/>
      <c r="AX98" s="120"/>
      <c r="AY98" s="120">
        <f>COUNTIF($BA$26:$BA$27,"Emnedag")</f>
        <v>0</v>
      </c>
      <c r="AZ98" s="120"/>
      <c r="BA98" s="120"/>
      <c r="BB98" s="121"/>
      <c r="BC98" s="120"/>
      <c r="BD98" s="120"/>
      <c r="BE98" s="120"/>
      <c r="BF98" s="120">
        <f>COUNTIF($BH$30:$BH$31,"Emnedag")</f>
        <v>0</v>
      </c>
      <c r="BG98" s="120"/>
      <c r="BH98" s="120"/>
      <c r="BI98" s="120"/>
      <c r="BJ98" s="120"/>
      <c r="BK98" s="120"/>
      <c r="BL98" s="120"/>
      <c r="BM98" s="120">
        <f>COUNTIF($BO$28:$BO$29,"Emnedag")</f>
        <v>0</v>
      </c>
      <c r="BN98" s="120"/>
      <c r="BO98" s="120"/>
      <c r="BP98" s="120"/>
      <c r="BQ98" s="120"/>
      <c r="BR98" s="120"/>
      <c r="BS98" s="120"/>
      <c r="BT98" s="120">
        <f>COUNTIF($BV$25:$BV$26,"Emnedag")</f>
        <v>0</v>
      </c>
      <c r="BU98" s="120"/>
      <c r="BV98" s="120"/>
      <c r="BW98" s="120"/>
      <c r="BX98" s="120"/>
      <c r="BY98" s="120"/>
      <c r="BZ98" s="120"/>
      <c r="CA98" s="120">
        <f>COUNTIF($CC$30:$CC$31,"Emnedag")</f>
        <v>0</v>
      </c>
      <c r="CB98" s="120"/>
      <c r="CC98" s="120"/>
      <c r="CD98" s="120"/>
      <c r="CE98" s="120"/>
      <c r="CF98" s="120"/>
      <c r="CG98" s="120"/>
      <c r="CH98" s="120"/>
      <c r="CI98" s="120">
        <f t="shared" si="37"/>
        <v>0</v>
      </c>
      <c r="CJ98" s="120"/>
      <c r="CK98" s="120"/>
      <c r="CL98" s="120"/>
      <c r="CM98" s="120"/>
    </row>
    <row r="99" spans="1:91" hidden="1" x14ac:dyDescent="0.2">
      <c r="A99" s="120"/>
      <c r="B99" s="120">
        <f>COUNTIF($D$35,"Emnedag")</f>
        <v>0</v>
      </c>
      <c r="C99" s="120"/>
      <c r="D99" s="120"/>
      <c r="E99" s="120"/>
      <c r="F99" s="120"/>
      <c r="G99" s="120"/>
      <c r="H99" s="120"/>
      <c r="I99" s="120">
        <f>COUNTIF($K$32:$K$33,"Emnedag")</f>
        <v>0</v>
      </c>
      <c r="J99" s="120"/>
      <c r="K99" s="120"/>
      <c r="L99" s="120"/>
      <c r="M99" s="120"/>
      <c r="N99" s="120"/>
      <c r="O99" s="120"/>
      <c r="P99" s="120"/>
      <c r="Q99" s="120"/>
      <c r="R99" s="120"/>
      <c r="S99" s="120"/>
      <c r="T99" s="120"/>
      <c r="U99" s="120"/>
      <c r="V99" s="120"/>
      <c r="W99" s="120">
        <f>COUNTIF($Y$34,"Emnedag")</f>
        <v>0</v>
      </c>
      <c r="X99" s="120"/>
      <c r="Y99" s="120"/>
      <c r="Z99" s="120"/>
      <c r="AA99" s="120"/>
      <c r="AB99" s="120"/>
      <c r="AC99" s="120"/>
      <c r="AD99" s="120">
        <f>COUNTIF($AF$32:$AF$33,"Emnedag")</f>
        <v>0</v>
      </c>
      <c r="AE99" s="120"/>
      <c r="AF99" s="120"/>
      <c r="AG99" s="120"/>
      <c r="AH99" s="120"/>
      <c r="AI99" s="120"/>
      <c r="AJ99" s="120"/>
      <c r="AK99" s="120"/>
      <c r="AL99" s="120"/>
      <c r="AM99" s="120"/>
      <c r="AN99" s="121"/>
      <c r="AO99" s="120"/>
      <c r="AP99" s="120"/>
      <c r="AQ99" s="120"/>
      <c r="AR99" s="120"/>
      <c r="AS99" s="120"/>
      <c r="AT99" s="120"/>
      <c r="AU99" s="121"/>
      <c r="AV99" s="120"/>
      <c r="AW99" s="120"/>
      <c r="AX99" s="120"/>
      <c r="AY99" s="120">
        <f>COUNTIF($BA$33:$BA$34,"Emnedag")</f>
        <v>0</v>
      </c>
      <c r="AZ99" s="120"/>
      <c r="BA99" s="120"/>
      <c r="BB99" s="121"/>
      <c r="BC99" s="120"/>
      <c r="BD99" s="120"/>
      <c r="BE99" s="120"/>
      <c r="BF99" s="120"/>
      <c r="BG99" s="120"/>
      <c r="BH99" s="120"/>
      <c r="BI99" s="120"/>
      <c r="BJ99" s="120"/>
      <c r="BK99" s="120"/>
      <c r="BL99" s="120"/>
      <c r="BM99" s="120">
        <f>COUNTIF($BO$35,"Emnedag")</f>
        <v>0</v>
      </c>
      <c r="BN99" s="120"/>
      <c r="BO99" s="120"/>
      <c r="BP99" s="120"/>
      <c r="BQ99" s="120"/>
      <c r="BR99" s="120"/>
      <c r="BS99" s="120"/>
      <c r="BT99" s="120">
        <f>COUNTIF($BV$32:$BV$33,"Emnedag")</f>
        <v>0</v>
      </c>
      <c r="BU99" s="120"/>
      <c r="BV99" s="120"/>
      <c r="BW99" s="120"/>
      <c r="BX99" s="120"/>
      <c r="BY99" s="120"/>
      <c r="BZ99" s="120"/>
      <c r="CA99" s="120"/>
      <c r="CB99" s="120"/>
      <c r="CC99" s="120"/>
      <c r="CD99" s="120"/>
      <c r="CE99" s="120"/>
      <c r="CF99" s="120"/>
      <c r="CG99" s="120"/>
      <c r="CH99" s="120"/>
      <c r="CI99" s="120">
        <f t="shared" si="37"/>
        <v>0</v>
      </c>
      <c r="CJ99" s="120"/>
      <c r="CK99" s="120"/>
      <c r="CL99" s="120"/>
      <c r="CM99" s="120"/>
    </row>
    <row r="100" spans="1:91" hidden="1" x14ac:dyDescent="0.2">
      <c r="A100" s="120"/>
      <c r="B100" s="120" t="s">
        <v>134</v>
      </c>
      <c r="C100" s="120"/>
      <c r="D100" s="120"/>
      <c r="E100" s="120"/>
      <c r="F100" s="120"/>
      <c r="G100" s="120"/>
      <c r="H100" s="120"/>
      <c r="I100" s="120" t="s">
        <v>134</v>
      </c>
      <c r="J100" s="120"/>
      <c r="K100" s="120"/>
      <c r="L100" s="120"/>
      <c r="M100" s="120"/>
      <c r="N100" s="120"/>
      <c r="O100" s="120"/>
      <c r="P100" s="120" t="s">
        <v>134</v>
      </c>
      <c r="Q100" s="120"/>
      <c r="R100" s="120"/>
      <c r="S100" s="120"/>
      <c r="T100" s="120"/>
      <c r="U100" s="120"/>
      <c r="V100" s="120"/>
      <c r="W100" s="120" t="s">
        <v>134</v>
      </c>
      <c r="X100" s="120"/>
      <c r="Y100" s="120"/>
      <c r="Z100" s="120"/>
      <c r="AA100" s="120"/>
      <c r="AB100" s="120"/>
      <c r="AC100" s="120"/>
      <c r="AD100" s="120" t="s">
        <v>134</v>
      </c>
      <c r="AE100" s="120"/>
      <c r="AF100" s="120"/>
      <c r="AG100" s="120"/>
      <c r="AH100" s="120"/>
      <c r="AI100" s="120"/>
      <c r="AJ100" s="120"/>
      <c r="AK100" s="120" t="s">
        <v>134</v>
      </c>
      <c r="AL100" s="120"/>
      <c r="AM100" s="120"/>
      <c r="AN100" s="121"/>
      <c r="AO100" s="120"/>
      <c r="AP100" s="120"/>
      <c r="AQ100" s="120"/>
      <c r="AR100" s="120" t="s">
        <v>134</v>
      </c>
      <c r="AS100" s="120"/>
      <c r="AT100" s="120"/>
      <c r="AU100" s="121"/>
      <c r="AV100" s="120"/>
      <c r="AW100" s="120"/>
      <c r="AX100" s="120"/>
      <c r="AY100" s="120" t="s">
        <v>134</v>
      </c>
      <c r="AZ100" s="120"/>
      <c r="BA100" s="120"/>
      <c r="BB100" s="121"/>
      <c r="BC100" s="120"/>
      <c r="BD100" s="120"/>
      <c r="BE100" s="120"/>
      <c r="BF100" s="120" t="s">
        <v>134</v>
      </c>
      <c r="BG100" s="120"/>
      <c r="BH100" s="120"/>
      <c r="BI100" s="120"/>
      <c r="BJ100" s="120"/>
      <c r="BK100" s="120"/>
      <c r="BL100" s="120"/>
      <c r="BM100" s="120" t="s">
        <v>134</v>
      </c>
      <c r="BN100" s="120"/>
      <c r="BO100" s="120"/>
      <c r="BP100" s="120"/>
      <c r="BQ100" s="120"/>
      <c r="BR100" s="120"/>
      <c r="BS100" s="120"/>
      <c r="BT100" s="120" t="s">
        <v>134</v>
      </c>
      <c r="BU100" s="120"/>
      <c r="BV100" s="120"/>
      <c r="BW100" s="120"/>
      <c r="BX100" s="120"/>
      <c r="BY100" s="120"/>
      <c r="BZ100" s="120"/>
      <c r="CA100" s="120" t="s">
        <v>134</v>
      </c>
      <c r="CB100" s="120"/>
      <c r="CC100" s="120"/>
      <c r="CD100" s="120"/>
      <c r="CE100" s="120"/>
      <c r="CF100" s="120"/>
      <c r="CG100" s="120"/>
      <c r="CH100" s="120"/>
      <c r="CI100" s="120">
        <f t="shared" si="37"/>
        <v>0</v>
      </c>
      <c r="CJ100" s="120"/>
      <c r="CK100" s="120"/>
      <c r="CL100" s="120"/>
      <c r="CM100" s="120"/>
    </row>
    <row r="101" spans="1:91" hidden="1" x14ac:dyDescent="0.2">
      <c r="A101" s="120"/>
      <c r="B101" s="120">
        <f>COUNTIF($D$7:$D$8,"Lejrskole")</f>
        <v>0</v>
      </c>
      <c r="C101" s="120"/>
      <c r="D101" s="120"/>
      <c r="E101" s="120"/>
      <c r="F101" s="120"/>
      <c r="G101" s="120"/>
      <c r="H101" s="120"/>
      <c r="I101" s="120">
        <f>COUNTIF($K$5,"Lejrskole")</f>
        <v>0</v>
      </c>
      <c r="J101" s="120"/>
      <c r="K101" s="120"/>
      <c r="L101" s="120"/>
      <c r="M101" s="120"/>
      <c r="N101" s="120"/>
      <c r="O101" s="120"/>
      <c r="P101" s="120">
        <f>COUNTIF($R$9:$R$10,"Lejrskole")</f>
        <v>0</v>
      </c>
      <c r="Q101" s="120"/>
      <c r="R101" s="120"/>
      <c r="S101" s="120"/>
      <c r="T101" s="120"/>
      <c r="U101" s="120"/>
      <c r="V101" s="120"/>
      <c r="W101" s="120">
        <f>COUNTIF($Y$6:$Y$7,"Lejrskole")</f>
        <v>0</v>
      </c>
      <c r="X101" s="120"/>
      <c r="Y101" s="120"/>
      <c r="Z101" s="120"/>
      <c r="AA101" s="120"/>
      <c r="AB101" s="120"/>
      <c r="AC101" s="120"/>
      <c r="AD101" s="120">
        <f>COUNTIF($AF$5,"Lejrskole")</f>
        <v>0</v>
      </c>
      <c r="AE101" s="120"/>
      <c r="AF101" s="120"/>
      <c r="AG101" s="120"/>
      <c r="AH101" s="120"/>
      <c r="AI101" s="120"/>
      <c r="AJ101" s="120"/>
      <c r="AK101" s="120">
        <f>COUNTIF($AM$8:$AM$9,"Lejrskole")</f>
        <v>0</v>
      </c>
      <c r="AL101" s="120"/>
      <c r="AM101" s="120"/>
      <c r="AN101" s="121"/>
      <c r="AO101" s="120"/>
      <c r="AP101" s="120"/>
      <c r="AQ101" s="120"/>
      <c r="AR101" s="120">
        <f>COUNTIF($AT$5:$AT$6,"Lejrskole")</f>
        <v>0</v>
      </c>
      <c r="AS101" s="120"/>
      <c r="AT101" s="120"/>
      <c r="AU101" s="121"/>
      <c r="AV101" s="120"/>
      <c r="AW101" s="120"/>
      <c r="AX101" s="120"/>
      <c r="AY101" s="120">
        <f>COUNTIF($BA$5:$BA$6,"Lejrskole")</f>
        <v>0</v>
      </c>
      <c r="AZ101" s="120"/>
      <c r="BA101" s="120"/>
      <c r="BB101" s="121"/>
      <c r="BC101" s="120"/>
      <c r="BD101" s="120"/>
      <c r="BE101" s="120"/>
      <c r="BF101" s="120">
        <f>COUNTIF($BH$9:$BH$10,"Lejrskole")</f>
        <v>0</v>
      </c>
      <c r="BG101" s="120"/>
      <c r="BH101" s="120"/>
      <c r="BI101" s="120"/>
      <c r="BJ101" s="120"/>
      <c r="BK101" s="120"/>
      <c r="BL101" s="120"/>
      <c r="BM101" s="120">
        <f>COUNTIF($BO$7:$BO$8,"Lejrskole")</f>
        <v>0</v>
      </c>
      <c r="BN101" s="120"/>
      <c r="BO101" s="120"/>
      <c r="BP101" s="120"/>
      <c r="BQ101" s="120"/>
      <c r="BR101" s="120"/>
      <c r="BS101" s="120"/>
      <c r="BT101" s="120">
        <f>COUNTIF($BV$5,"Lejrskole")</f>
        <v>0</v>
      </c>
      <c r="BU101" s="120"/>
      <c r="BV101" s="120"/>
      <c r="BW101" s="120"/>
      <c r="BX101" s="120"/>
      <c r="BY101" s="120"/>
      <c r="BZ101" s="120"/>
      <c r="CA101" s="120">
        <f>COUNTIF($CC$9:$CC$10,"Lejrskole")</f>
        <v>0</v>
      </c>
      <c r="CB101" s="120"/>
      <c r="CC101" s="120"/>
      <c r="CD101" s="120"/>
      <c r="CE101" s="120"/>
      <c r="CF101" s="120"/>
      <c r="CG101" s="120"/>
      <c r="CH101" s="120"/>
      <c r="CI101" s="120">
        <f t="shared" si="37"/>
        <v>0</v>
      </c>
      <c r="CJ101" s="120"/>
      <c r="CK101" s="120"/>
      <c r="CL101" s="120"/>
      <c r="CM101" s="120"/>
    </row>
    <row r="102" spans="1:91" hidden="1" x14ac:dyDescent="0.2">
      <c r="A102" s="120"/>
      <c r="B102" s="120">
        <f>COUNTIF($D$14:$D$15,"Lejrskole")</f>
        <v>0</v>
      </c>
      <c r="C102" s="120"/>
      <c r="D102" s="120"/>
      <c r="E102" s="120"/>
      <c r="F102" s="120"/>
      <c r="G102" s="120"/>
      <c r="H102" s="120"/>
      <c r="I102" s="120">
        <f>COUNTIF($K$11:$K$12,"Lejrskole")</f>
        <v>0</v>
      </c>
      <c r="J102" s="120"/>
      <c r="K102" s="120"/>
      <c r="L102" s="120"/>
      <c r="M102" s="120"/>
      <c r="N102" s="120"/>
      <c r="O102" s="120"/>
      <c r="P102" s="120">
        <f>COUNTIF($R$16:$R$17,"Lejrskole")</f>
        <v>0</v>
      </c>
      <c r="Q102" s="120"/>
      <c r="R102" s="120"/>
      <c r="S102" s="120"/>
      <c r="T102" s="120"/>
      <c r="U102" s="120"/>
      <c r="V102" s="120"/>
      <c r="W102" s="120">
        <f>COUNTIF($Y$13:$Y$14,"Lejrskole")</f>
        <v>0</v>
      </c>
      <c r="X102" s="120"/>
      <c r="Y102" s="120"/>
      <c r="Z102" s="120"/>
      <c r="AA102" s="120"/>
      <c r="AB102" s="120"/>
      <c r="AC102" s="120"/>
      <c r="AD102" s="120">
        <f>COUNTIF($AF$11:$AF$12,"Lejrskole")</f>
        <v>0</v>
      </c>
      <c r="AE102" s="120"/>
      <c r="AF102" s="120"/>
      <c r="AG102" s="120"/>
      <c r="AH102" s="120"/>
      <c r="AI102" s="120"/>
      <c r="AJ102" s="120"/>
      <c r="AK102" s="120">
        <f>COUNTIF($AM$15:$AM$16,"Lejrskole")</f>
        <v>0</v>
      </c>
      <c r="AL102" s="120"/>
      <c r="AM102" s="120"/>
      <c r="AN102" s="121"/>
      <c r="AO102" s="120"/>
      <c r="AP102" s="120"/>
      <c r="AQ102" s="120"/>
      <c r="AR102" s="120">
        <f>COUNTIF($AT$12:$AT$13,"Lejrskole")</f>
        <v>0</v>
      </c>
      <c r="AS102" s="120"/>
      <c r="AT102" s="120"/>
      <c r="AU102" s="121"/>
      <c r="AV102" s="120"/>
      <c r="AW102" s="120"/>
      <c r="AX102" s="120"/>
      <c r="AY102" s="120">
        <f>COUNTIF($BA$12:$BA$13,"Lejrskole")</f>
        <v>0</v>
      </c>
      <c r="AZ102" s="120"/>
      <c r="BA102" s="120"/>
      <c r="BB102" s="121"/>
      <c r="BC102" s="120"/>
      <c r="BD102" s="120"/>
      <c r="BE102" s="120"/>
      <c r="BF102" s="120">
        <f>COUNTIF($BH$16:$BH$17,"Lejrskole")</f>
        <v>0</v>
      </c>
      <c r="BG102" s="120"/>
      <c r="BH102" s="120"/>
      <c r="BI102" s="120"/>
      <c r="BJ102" s="120"/>
      <c r="BK102" s="120"/>
      <c r="BL102" s="120"/>
      <c r="BM102" s="120">
        <f>COUNTIF($BO$14:$BO$15,"Lejrskole")</f>
        <v>0</v>
      </c>
      <c r="BN102" s="120"/>
      <c r="BO102" s="120"/>
      <c r="BP102" s="120"/>
      <c r="BQ102" s="120"/>
      <c r="BR102" s="120"/>
      <c r="BS102" s="120"/>
      <c r="BT102" s="120">
        <f>COUNTIF($BV$11:$BV$12,"Lejrskole")</f>
        <v>0</v>
      </c>
      <c r="BU102" s="120"/>
      <c r="BV102" s="120"/>
      <c r="BW102" s="120"/>
      <c r="BX102" s="120"/>
      <c r="BY102" s="120"/>
      <c r="BZ102" s="120"/>
      <c r="CA102" s="120">
        <f>COUNTIF($CC$16:$CC$17,"Lejrskole")</f>
        <v>0</v>
      </c>
      <c r="CB102" s="120"/>
      <c r="CC102" s="120"/>
      <c r="CD102" s="120"/>
      <c r="CE102" s="120"/>
      <c r="CF102" s="120"/>
      <c r="CG102" s="120"/>
      <c r="CH102" s="120"/>
      <c r="CI102" s="120">
        <f t="shared" si="37"/>
        <v>0</v>
      </c>
      <c r="CJ102" s="120"/>
      <c r="CK102" s="120"/>
      <c r="CL102" s="120"/>
      <c r="CM102" s="120"/>
    </row>
    <row r="103" spans="1:91" hidden="1" x14ac:dyDescent="0.2">
      <c r="A103" s="120"/>
      <c r="B103" s="120">
        <f>COUNTIF($D$21:$D$22,"Lejrskole")</f>
        <v>0</v>
      </c>
      <c r="C103" s="120"/>
      <c r="D103" s="120"/>
      <c r="E103" s="120"/>
      <c r="F103" s="120"/>
      <c r="G103" s="120"/>
      <c r="H103" s="120"/>
      <c r="I103" s="120">
        <f>COUNTIF($K$18:$K$19,"Lejrskole")</f>
        <v>0</v>
      </c>
      <c r="J103" s="120"/>
      <c r="K103" s="120"/>
      <c r="L103" s="120"/>
      <c r="M103" s="120"/>
      <c r="N103" s="120"/>
      <c r="O103" s="120"/>
      <c r="P103" s="120">
        <f>COUNTIF($R$23:$R$24,"Lejrskole")</f>
        <v>0</v>
      </c>
      <c r="Q103" s="120"/>
      <c r="R103" s="120"/>
      <c r="S103" s="120"/>
      <c r="T103" s="120"/>
      <c r="U103" s="120"/>
      <c r="V103" s="120"/>
      <c r="W103" s="120">
        <f>COUNTIF($Y$20:$Y$21,"Lejrskole")</f>
        <v>0</v>
      </c>
      <c r="X103" s="120"/>
      <c r="Y103" s="120"/>
      <c r="Z103" s="120"/>
      <c r="AA103" s="120"/>
      <c r="AB103" s="120"/>
      <c r="AC103" s="120"/>
      <c r="AD103" s="120">
        <f>COUNTIF($AF$18:$AF$19,"Lejrskole")</f>
        <v>0</v>
      </c>
      <c r="AE103" s="120"/>
      <c r="AF103" s="120"/>
      <c r="AG103" s="120"/>
      <c r="AH103" s="120"/>
      <c r="AI103" s="120"/>
      <c r="AJ103" s="120"/>
      <c r="AK103" s="120">
        <f>COUNTIF($AM$22:$AM$23,"Lejrskole")</f>
        <v>0</v>
      </c>
      <c r="AL103" s="120"/>
      <c r="AM103" s="120"/>
      <c r="AN103" s="121"/>
      <c r="AO103" s="120"/>
      <c r="AP103" s="120"/>
      <c r="AQ103" s="120"/>
      <c r="AR103" s="120">
        <f>COUNTIF($AT$19:$AT$20,"Lejrskole")</f>
        <v>0</v>
      </c>
      <c r="AS103" s="120"/>
      <c r="AT103" s="120"/>
      <c r="AU103" s="121"/>
      <c r="AV103" s="120"/>
      <c r="AW103" s="120"/>
      <c r="AX103" s="120"/>
      <c r="AY103" s="120">
        <f>COUNTIF($BA$19:$BA$20,"Lejrskole")</f>
        <v>0</v>
      </c>
      <c r="AZ103" s="120"/>
      <c r="BA103" s="120"/>
      <c r="BB103" s="121"/>
      <c r="BC103" s="120"/>
      <c r="BD103" s="120"/>
      <c r="BE103" s="120"/>
      <c r="BF103" s="120">
        <f>COUNTIF($BH$23:$BH$24,"Lejrskole")</f>
        <v>0</v>
      </c>
      <c r="BG103" s="120"/>
      <c r="BH103" s="120"/>
      <c r="BI103" s="120"/>
      <c r="BJ103" s="120"/>
      <c r="BK103" s="120"/>
      <c r="BL103" s="120"/>
      <c r="BM103" s="120">
        <f>COUNTIF($BO$21:$BO$22,"Lejrskole")</f>
        <v>0</v>
      </c>
      <c r="BN103" s="120"/>
      <c r="BO103" s="120"/>
      <c r="BP103" s="120"/>
      <c r="BQ103" s="120"/>
      <c r="BR103" s="120"/>
      <c r="BS103" s="120"/>
      <c r="BT103" s="120">
        <f>COUNTIF($BV$18:$BV$19,"Lejrskole")</f>
        <v>0</v>
      </c>
      <c r="BU103" s="120"/>
      <c r="BV103" s="120"/>
      <c r="BW103" s="120"/>
      <c r="BX103" s="120"/>
      <c r="BY103" s="120"/>
      <c r="BZ103" s="120"/>
      <c r="CA103" s="120">
        <f>COUNTIF($CC$23:$CC$24,"Lejrskole")</f>
        <v>0</v>
      </c>
      <c r="CB103" s="120"/>
      <c r="CC103" s="120"/>
      <c r="CD103" s="120"/>
      <c r="CE103" s="120"/>
      <c r="CF103" s="120"/>
      <c r="CG103" s="120"/>
      <c r="CH103" s="120"/>
      <c r="CI103" s="120">
        <f t="shared" si="37"/>
        <v>0</v>
      </c>
      <c r="CJ103" s="120"/>
      <c r="CK103" s="120"/>
      <c r="CL103" s="120"/>
      <c r="CM103" s="120"/>
    </row>
    <row r="104" spans="1:91" hidden="1" x14ac:dyDescent="0.2">
      <c r="A104" s="120"/>
      <c r="B104" s="120">
        <f>COUNTIF($D$28:$D$29,"Lejrskole")</f>
        <v>0</v>
      </c>
      <c r="C104" s="120"/>
      <c r="D104" s="120"/>
      <c r="E104" s="120"/>
      <c r="F104" s="120"/>
      <c r="G104" s="120"/>
      <c r="H104" s="120"/>
      <c r="I104" s="120">
        <f>COUNTIF($K$25:$K$26,"Lejrskole")</f>
        <v>0</v>
      </c>
      <c r="J104" s="120"/>
      <c r="K104" s="120"/>
      <c r="L104" s="120"/>
      <c r="M104" s="120"/>
      <c r="N104" s="120"/>
      <c r="O104" s="120"/>
      <c r="P104" s="120">
        <f>COUNTIF($R$30:$R$31,"Lejrskole")</f>
        <v>0</v>
      </c>
      <c r="Q104" s="120"/>
      <c r="R104" s="120"/>
      <c r="S104" s="120"/>
      <c r="T104" s="120"/>
      <c r="U104" s="120"/>
      <c r="V104" s="120"/>
      <c r="W104" s="120">
        <f>COUNTIF($Y$27:$Y$28,"Lejrskole")</f>
        <v>0</v>
      </c>
      <c r="X104" s="120"/>
      <c r="Y104" s="120"/>
      <c r="Z104" s="120"/>
      <c r="AA104" s="120"/>
      <c r="AB104" s="120"/>
      <c r="AC104" s="120"/>
      <c r="AD104" s="120">
        <f>COUNTIF($AF$25:$AF$26,"Lejrskole")</f>
        <v>0</v>
      </c>
      <c r="AE104" s="120"/>
      <c r="AF104" s="120"/>
      <c r="AG104" s="120"/>
      <c r="AH104" s="120"/>
      <c r="AI104" s="120"/>
      <c r="AJ104" s="120"/>
      <c r="AK104" s="120">
        <f>COUNTIF($AM$29:$AM$30,"Lejrskole")</f>
        <v>0</v>
      </c>
      <c r="AL104" s="120"/>
      <c r="AM104" s="120"/>
      <c r="AN104" s="121"/>
      <c r="AO104" s="120"/>
      <c r="AP104" s="120"/>
      <c r="AQ104" s="120"/>
      <c r="AR104" s="120">
        <f>COUNTIF($AT$26:$AT$27,"Lejrskole")</f>
        <v>0</v>
      </c>
      <c r="AS104" s="120"/>
      <c r="AT104" s="120"/>
      <c r="AU104" s="121"/>
      <c r="AV104" s="120"/>
      <c r="AW104" s="120"/>
      <c r="AX104" s="120"/>
      <c r="AY104" s="120">
        <f>COUNTIF($BA$26:$BA$27,"Lejrskole")</f>
        <v>0</v>
      </c>
      <c r="AZ104" s="120"/>
      <c r="BA104" s="120"/>
      <c r="BB104" s="121"/>
      <c r="BC104" s="120"/>
      <c r="BD104" s="120"/>
      <c r="BE104" s="120"/>
      <c r="BF104" s="120">
        <f>COUNTIF($BH$30:$BH$31,"Lejrskole")</f>
        <v>0</v>
      </c>
      <c r="BG104" s="120"/>
      <c r="BH104" s="120"/>
      <c r="BI104" s="120"/>
      <c r="BJ104" s="120"/>
      <c r="BK104" s="120"/>
      <c r="BL104" s="120"/>
      <c r="BM104" s="120">
        <f>COUNTIF($BO$28:$BO$29,"Lejrskole")</f>
        <v>0</v>
      </c>
      <c r="BN104" s="120"/>
      <c r="BO104" s="120"/>
      <c r="BP104" s="120"/>
      <c r="BQ104" s="120"/>
      <c r="BR104" s="120"/>
      <c r="BS104" s="120"/>
      <c r="BT104" s="120">
        <f>COUNTIF($BV$25:$BV$26,"Lejrskole")</f>
        <v>0</v>
      </c>
      <c r="BU104" s="120"/>
      <c r="BV104" s="120"/>
      <c r="BW104" s="120"/>
      <c r="BX104" s="120"/>
      <c r="BY104" s="120"/>
      <c r="BZ104" s="120"/>
      <c r="CA104" s="120">
        <f>COUNTIF($CC$30:$CC$31,"Lejrskole")</f>
        <v>0</v>
      </c>
      <c r="CB104" s="120"/>
      <c r="CC104" s="120"/>
      <c r="CD104" s="120"/>
      <c r="CE104" s="120"/>
      <c r="CF104" s="120"/>
      <c r="CG104" s="120"/>
      <c r="CH104" s="120"/>
      <c r="CI104" s="120">
        <f t="shared" si="37"/>
        <v>0</v>
      </c>
      <c r="CJ104" s="120"/>
      <c r="CK104" s="120"/>
      <c r="CL104" s="120"/>
      <c r="CM104" s="120"/>
    </row>
    <row r="105" spans="1:91" hidden="1" x14ac:dyDescent="0.2">
      <c r="A105" s="120"/>
      <c r="B105" s="120">
        <f>COUNTIF($D$35,"Lejrskole")</f>
        <v>0</v>
      </c>
      <c r="C105" s="120"/>
      <c r="D105" s="120"/>
      <c r="E105" s="120"/>
      <c r="F105" s="120"/>
      <c r="G105" s="120"/>
      <c r="H105" s="120"/>
      <c r="I105" s="120">
        <f>COUNTIF($K$32:$K$33,"Lejrskole")</f>
        <v>0</v>
      </c>
      <c r="J105" s="120"/>
      <c r="K105" s="120"/>
      <c r="L105" s="120"/>
      <c r="M105" s="120"/>
      <c r="N105" s="120"/>
      <c r="O105" s="120"/>
      <c r="P105" s="120"/>
      <c r="Q105" s="120"/>
      <c r="R105" s="120"/>
      <c r="S105" s="120"/>
      <c r="T105" s="120"/>
      <c r="U105" s="120"/>
      <c r="V105" s="120"/>
      <c r="W105" s="120">
        <f>COUNTIF($Y$34,"Lejrskole")</f>
        <v>0</v>
      </c>
      <c r="X105" s="120"/>
      <c r="Y105" s="120"/>
      <c r="Z105" s="120"/>
      <c r="AA105" s="120"/>
      <c r="AB105" s="120"/>
      <c r="AC105" s="120"/>
      <c r="AD105" s="120">
        <f>COUNTIF($AF$32:$AF$33,"Lejrskole")</f>
        <v>0</v>
      </c>
      <c r="AE105" s="120"/>
      <c r="AF105" s="120"/>
      <c r="AG105" s="120"/>
      <c r="AH105" s="120"/>
      <c r="AI105" s="120"/>
      <c r="AJ105" s="120"/>
      <c r="AK105" s="120"/>
      <c r="AL105" s="120"/>
      <c r="AM105" s="120"/>
      <c r="AN105" s="121"/>
      <c r="AO105" s="120"/>
      <c r="AP105" s="120"/>
      <c r="AQ105" s="120"/>
      <c r="AR105" s="120"/>
      <c r="AS105" s="120"/>
      <c r="AT105" s="120"/>
      <c r="AU105" s="121"/>
      <c r="AV105" s="120"/>
      <c r="AW105" s="120"/>
      <c r="AX105" s="120"/>
      <c r="AY105" s="120">
        <f>COUNTIF($BA$33:$BA$34,"Lejrskole")</f>
        <v>0</v>
      </c>
      <c r="AZ105" s="120"/>
      <c r="BA105" s="120"/>
      <c r="BB105" s="121"/>
      <c r="BC105" s="120"/>
      <c r="BD105" s="120"/>
      <c r="BE105" s="120"/>
      <c r="BF105" s="120"/>
      <c r="BG105" s="120"/>
      <c r="BH105" s="120"/>
      <c r="BI105" s="120"/>
      <c r="BJ105" s="120"/>
      <c r="BK105" s="120"/>
      <c r="BL105" s="120"/>
      <c r="BM105" s="120">
        <f>COUNTIF($BO$35,"Lejrskole")</f>
        <v>0</v>
      </c>
      <c r="BN105" s="120"/>
      <c r="BO105" s="120"/>
      <c r="BP105" s="120"/>
      <c r="BQ105" s="120"/>
      <c r="BR105" s="120"/>
      <c r="BS105" s="120"/>
      <c r="BT105" s="120">
        <f>COUNTIF($BV$32:$BV$33,"Lejrskole")</f>
        <v>0</v>
      </c>
      <c r="BU105" s="120"/>
      <c r="BV105" s="120"/>
      <c r="BW105" s="120"/>
      <c r="BX105" s="120"/>
      <c r="BY105" s="120"/>
      <c r="BZ105" s="120"/>
      <c r="CA105" s="120"/>
      <c r="CB105" s="120"/>
      <c r="CC105" s="120"/>
      <c r="CD105" s="120"/>
      <c r="CE105" s="120"/>
      <c r="CF105" s="120"/>
      <c r="CG105" s="120"/>
      <c r="CH105" s="120"/>
      <c r="CI105" s="120">
        <f t="shared" si="37"/>
        <v>0</v>
      </c>
      <c r="CJ105" s="120"/>
      <c r="CK105" s="120"/>
      <c r="CL105" s="120"/>
      <c r="CM105" s="120"/>
    </row>
    <row r="106" spans="1:91" hidden="1" x14ac:dyDescent="0.2">
      <c r="A106" s="120"/>
      <c r="B106" s="120" t="s">
        <v>84</v>
      </c>
      <c r="C106" s="120"/>
      <c r="D106" s="120"/>
      <c r="E106" s="120"/>
      <c r="F106" s="120"/>
      <c r="G106" s="120"/>
      <c r="H106" s="120"/>
      <c r="I106" s="120" t="s">
        <v>84</v>
      </c>
      <c r="J106" s="120"/>
      <c r="K106" s="120"/>
      <c r="L106" s="120"/>
      <c r="M106" s="120"/>
      <c r="N106" s="120"/>
      <c r="O106" s="120"/>
      <c r="P106" s="120" t="s">
        <v>84</v>
      </c>
      <c r="Q106" s="120"/>
      <c r="R106" s="120"/>
      <c r="S106" s="120"/>
      <c r="T106" s="120"/>
      <c r="U106" s="120"/>
      <c r="V106" s="120"/>
      <c r="W106" s="120" t="s">
        <v>84</v>
      </c>
      <c r="X106" s="120"/>
      <c r="Y106" s="120"/>
      <c r="Z106" s="120"/>
      <c r="AA106" s="120"/>
      <c r="AB106" s="120"/>
      <c r="AC106" s="120"/>
      <c r="AD106" s="120" t="s">
        <v>84</v>
      </c>
      <c r="AE106" s="120"/>
      <c r="AF106" s="120"/>
      <c r="AG106" s="120"/>
      <c r="AH106" s="120"/>
      <c r="AI106" s="120"/>
      <c r="AJ106" s="120"/>
      <c r="AK106" s="120" t="s">
        <v>84</v>
      </c>
      <c r="AL106" s="120"/>
      <c r="AM106" s="120"/>
      <c r="AN106" s="121"/>
      <c r="AO106" s="120"/>
      <c r="AP106" s="120"/>
      <c r="AQ106" s="120"/>
      <c r="AR106" s="120" t="s">
        <v>84</v>
      </c>
      <c r="AS106" s="120"/>
      <c r="AT106" s="120"/>
      <c r="AU106" s="121"/>
      <c r="AV106" s="120"/>
      <c r="AW106" s="120"/>
      <c r="AX106" s="120"/>
      <c r="AY106" s="120" t="s">
        <v>84</v>
      </c>
      <c r="AZ106" s="120"/>
      <c r="BA106" s="120"/>
      <c r="BB106" s="121"/>
      <c r="BC106" s="120"/>
      <c r="BD106" s="120"/>
      <c r="BE106" s="120"/>
      <c r="BF106" s="120" t="s">
        <v>84</v>
      </c>
      <c r="BG106" s="120"/>
      <c r="BH106" s="120"/>
      <c r="BI106" s="120"/>
      <c r="BJ106" s="120"/>
      <c r="BK106" s="120"/>
      <c r="BL106" s="120"/>
      <c r="BM106" s="120" t="s">
        <v>84</v>
      </c>
      <c r="BN106" s="120"/>
      <c r="BO106" s="120"/>
      <c r="BP106" s="120"/>
      <c r="BQ106" s="120"/>
      <c r="BR106" s="120"/>
      <c r="BS106" s="120"/>
      <c r="BT106" s="120" t="s">
        <v>84</v>
      </c>
      <c r="BU106" s="120"/>
      <c r="BV106" s="120"/>
      <c r="BW106" s="120"/>
      <c r="BX106" s="120"/>
      <c r="BY106" s="120"/>
      <c r="BZ106" s="120"/>
      <c r="CA106" s="120" t="s">
        <v>84</v>
      </c>
      <c r="CB106" s="120"/>
      <c r="CC106" s="120"/>
      <c r="CD106" s="120"/>
      <c r="CE106" s="120"/>
      <c r="CF106" s="120"/>
      <c r="CG106" s="120"/>
      <c r="CH106" s="120"/>
      <c r="CI106" s="120">
        <f t="shared" si="37"/>
        <v>0</v>
      </c>
      <c r="CJ106" s="120"/>
      <c r="CK106" s="120"/>
      <c r="CL106" s="120"/>
      <c r="CM106" s="120"/>
    </row>
    <row r="107" spans="1:91" hidden="1" x14ac:dyDescent="0.2">
      <c r="A107" s="120"/>
      <c r="B107" s="120">
        <f>COUNTIF($D$7:$D$8,"Ekskursion")</f>
        <v>0</v>
      </c>
      <c r="C107" s="120"/>
      <c r="D107" s="120"/>
      <c r="E107" s="120"/>
      <c r="F107" s="120"/>
      <c r="G107" s="120"/>
      <c r="H107" s="120"/>
      <c r="I107" s="120">
        <f>COUNTIF($K$5,"Ekskursion")</f>
        <v>0</v>
      </c>
      <c r="J107" s="120"/>
      <c r="K107" s="120"/>
      <c r="L107" s="120"/>
      <c r="M107" s="120"/>
      <c r="N107" s="120"/>
      <c r="O107" s="120"/>
      <c r="P107" s="120">
        <f>COUNTIF($R$9:$R$10,"Ekskursion")</f>
        <v>0</v>
      </c>
      <c r="Q107" s="120"/>
      <c r="R107" s="120"/>
      <c r="S107" s="120"/>
      <c r="T107" s="120"/>
      <c r="U107" s="120"/>
      <c r="V107" s="120"/>
      <c r="W107" s="120">
        <f>COUNTIF($Y$6:$Y$7,"Ekskursion")</f>
        <v>0</v>
      </c>
      <c r="X107" s="120"/>
      <c r="Y107" s="120"/>
      <c r="Z107" s="120"/>
      <c r="AA107" s="120"/>
      <c r="AB107" s="120"/>
      <c r="AC107" s="120"/>
      <c r="AD107" s="120">
        <f>COUNTIF($AF$5,"Ekskursion")</f>
        <v>0</v>
      </c>
      <c r="AE107" s="120"/>
      <c r="AF107" s="120"/>
      <c r="AG107" s="120"/>
      <c r="AH107" s="120"/>
      <c r="AI107" s="120"/>
      <c r="AJ107" s="120"/>
      <c r="AK107" s="120">
        <f>COUNTIF($AM$8:$AM$9,"Ekskursion")</f>
        <v>0</v>
      </c>
      <c r="AL107" s="120"/>
      <c r="AM107" s="120"/>
      <c r="AN107" s="121"/>
      <c r="AO107" s="120"/>
      <c r="AP107" s="120"/>
      <c r="AQ107" s="120"/>
      <c r="AR107" s="120">
        <f>COUNTIF($AT$5:$AT$6,"Ekskursion")</f>
        <v>0</v>
      </c>
      <c r="AS107" s="120"/>
      <c r="AT107" s="120"/>
      <c r="AU107" s="121"/>
      <c r="AV107" s="120"/>
      <c r="AW107" s="120"/>
      <c r="AX107" s="120"/>
      <c r="AY107" s="120">
        <f>COUNTIF($BA$5:$BA$6,"Ekskursion")</f>
        <v>0</v>
      </c>
      <c r="AZ107" s="120"/>
      <c r="BA107" s="120"/>
      <c r="BB107" s="121"/>
      <c r="BC107" s="120"/>
      <c r="BD107" s="120"/>
      <c r="BE107" s="120"/>
      <c r="BF107" s="120">
        <f>COUNTIF($BH$9:$BH$10,"Ekskursion")</f>
        <v>0</v>
      </c>
      <c r="BG107" s="120"/>
      <c r="BH107" s="120"/>
      <c r="BI107" s="120"/>
      <c r="BJ107" s="120"/>
      <c r="BK107" s="120"/>
      <c r="BL107" s="120"/>
      <c r="BM107" s="120">
        <f>COUNTIF($BO$7:$BO$8,"Ekskursion")</f>
        <v>0</v>
      </c>
      <c r="BN107" s="120"/>
      <c r="BO107" s="120"/>
      <c r="BP107" s="120"/>
      <c r="BQ107" s="120"/>
      <c r="BR107" s="120"/>
      <c r="BS107" s="120"/>
      <c r="BT107" s="120">
        <f>COUNTIF($BV$5,"Ekskursion")</f>
        <v>0</v>
      </c>
      <c r="BU107" s="120"/>
      <c r="BV107" s="120"/>
      <c r="BW107" s="120"/>
      <c r="BX107" s="120"/>
      <c r="BY107" s="120"/>
      <c r="BZ107" s="120"/>
      <c r="CA107" s="120">
        <f>COUNTIF($CC$9:$CC$10,"Ekskursion")</f>
        <v>0</v>
      </c>
      <c r="CB107" s="120"/>
      <c r="CC107" s="120"/>
      <c r="CD107" s="120"/>
      <c r="CE107" s="120"/>
      <c r="CF107" s="120"/>
      <c r="CG107" s="120"/>
      <c r="CH107" s="120"/>
      <c r="CI107" s="120">
        <f t="shared" si="37"/>
        <v>0</v>
      </c>
      <c r="CJ107" s="120"/>
      <c r="CK107" s="120"/>
      <c r="CL107" s="120"/>
      <c r="CM107" s="120"/>
    </row>
    <row r="108" spans="1:91" hidden="1" x14ac:dyDescent="0.2">
      <c r="A108" s="120"/>
      <c r="B108" s="120">
        <f>COUNTIF($D$14:$D$15,"Ekskursion")</f>
        <v>0</v>
      </c>
      <c r="C108" s="120"/>
      <c r="D108" s="120"/>
      <c r="E108" s="120"/>
      <c r="F108" s="120"/>
      <c r="G108" s="120"/>
      <c r="H108" s="120"/>
      <c r="I108" s="120">
        <f>COUNTIF($K$11:$K$12,"Ekskursion")</f>
        <v>0</v>
      </c>
      <c r="J108" s="120"/>
      <c r="K108" s="120"/>
      <c r="L108" s="120"/>
      <c r="M108" s="120"/>
      <c r="N108" s="120"/>
      <c r="O108" s="120"/>
      <c r="P108" s="120">
        <f>COUNTIF($R$16:$R$17,"Ekskursion")</f>
        <v>0</v>
      </c>
      <c r="Q108" s="120"/>
      <c r="R108" s="120"/>
      <c r="S108" s="120"/>
      <c r="T108" s="120"/>
      <c r="U108" s="120"/>
      <c r="V108" s="120"/>
      <c r="W108" s="120">
        <f>COUNTIF($Y$13:$Y$14,"Ekskursion")</f>
        <v>0</v>
      </c>
      <c r="X108" s="120"/>
      <c r="Y108" s="120"/>
      <c r="Z108" s="120"/>
      <c r="AA108" s="120"/>
      <c r="AB108" s="120"/>
      <c r="AC108" s="120"/>
      <c r="AD108" s="120">
        <f>COUNTIF($AF$11:$AF$12,"Ekskursion")</f>
        <v>0</v>
      </c>
      <c r="AE108" s="120"/>
      <c r="AF108" s="120"/>
      <c r="AG108" s="120"/>
      <c r="AH108" s="120"/>
      <c r="AI108" s="120"/>
      <c r="AJ108" s="120"/>
      <c r="AK108" s="120">
        <f>COUNTIF($AM$15:$AM$16,"Ekskursion")</f>
        <v>0</v>
      </c>
      <c r="AL108" s="120"/>
      <c r="AM108" s="120"/>
      <c r="AN108" s="121"/>
      <c r="AO108" s="120"/>
      <c r="AP108" s="120"/>
      <c r="AQ108" s="120"/>
      <c r="AR108" s="120">
        <f>COUNTIF($AT$12:$AT$13,"Ekskursion")</f>
        <v>0</v>
      </c>
      <c r="AS108" s="120"/>
      <c r="AT108" s="120"/>
      <c r="AU108" s="121"/>
      <c r="AV108" s="120"/>
      <c r="AW108" s="120"/>
      <c r="AX108" s="120"/>
      <c r="AY108" s="120">
        <f>COUNTIF($BA$12:$BA$13,"Ekskursion")</f>
        <v>0</v>
      </c>
      <c r="AZ108" s="120"/>
      <c r="BA108" s="120"/>
      <c r="BB108" s="121"/>
      <c r="BC108" s="120"/>
      <c r="BD108" s="120"/>
      <c r="BE108" s="120"/>
      <c r="BF108" s="120">
        <f>COUNTIF($BH$16:$BH$17,"Ekskursion")</f>
        <v>0</v>
      </c>
      <c r="BG108" s="120"/>
      <c r="BH108" s="120"/>
      <c r="BI108" s="120"/>
      <c r="BJ108" s="120"/>
      <c r="BK108" s="120"/>
      <c r="BL108" s="120"/>
      <c r="BM108" s="120">
        <f>COUNTIF($BO$14:$BO$15,"Ekskursion")</f>
        <v>0</v>
      </c>
      <c r="BN108" s="120"/>
      <c r="BO108" s="120"/>
      <c r="BP108" s="120"/>
      <c r="BQ108" s="120"/>
      <c r="BR108" s="120"/>
      <c r="BS108" s="120"/>
      <c r="BT108" s="120">
        <f>COUNTIF($BV$11:$BV$12,"Ekskursion")</f>
        <v>0</v>
      </c>
      <c r="BU108" s="120"/>
      <c r="BV108" s="120"/>
      <c r="BW108" s="120"/>
      <c r="BX108" s="120"/>
      <c r="BY108" s="120"/>
      <c r="BZ108" s="120"/>
      <c r="CA108" s="120">
        <f>COUNTIF($CC$16:$CC$17,"Ekskursion")</f>
        <v>0</v>
      </c>
      <c r="CB108" s="120"/>
      <c r="CC108" s="120"/>
      <c r="CD108" s="120"/>
      <c r="CE108" s="120"/>
      <c r="CF108" s="120"/>
      <c r="CG108" s="120"/>
      <c r="CH108" s="120"/>
      <c r="CI108" s="120">
        <f t="shared" si="37"/>
        <v>0</v>
      </c>
      <c r="CJ108" s="120"/>
      <c r="CK108" s="120"/>
      <c r="CL108" s="120"/>
      <c r="CM108" s="120"/>
    </row>
    <row r="109" spans="1:91" hidden="1" x14ac:dyDescent="0.2">
      <c r="A109" s="120"/>
      <c r="B109" s="120">
        <f>COUNTIF($D$21:$D$22,"Ekskursion")</f>
        <v>0</v>
      </c>
      <c r="C109" s="120"/>
      <c r="D109" s="120"/>
      <c r="E109" s="120"/>
      <c r="F109" s="120"/>
      <c r="G109" s="120"/>
      <c r="H109" s="120"/>
      <c r="I109" s="120">
        <f>COUNTIF($K$18:$K$19,"Ekskursion")</f>
        <v>0</v>
      </c>
      <c r="J109" s="120"/>
      <c r="K109" s="120"/>
      <c r="L109" s="120"/>
      <c r="M109" s="120"/>
      <c r="N109" s="120"/>
      <c r="O109" s="120"/>
      <c r="P109" s="120">
        <f>COUNTIF($R$23:$R$24,"Ekskursion")</f>
        <v>0</v>
      </c>
      <c r="Q109" s="120"/>
      <c r="R109" s="120"/>
      <c r="S109" s="120"/>
      <c r="T109" s="120"/>
      <c r="U109" s="120"/>
      <c r="V109" s="120"/>
      <c r="W109" s="120">
        <f>COUNTIF($Y$20:$Y$21,"Ekskursion")</f>
        <v>0</v>
      </c>
      <c r="X109" s="120"/>
      <c r="Y109" s="120"/>
      <c r="Z109" s="120"/>
      <c r="AA109" s="120"/>
      <c r="AB109" s="120"/>
      <c r="AC109" s="120"/>
      <c r="AD109" s="120">
        <f>COUNTIF($AF$18:$AF$19,"Ekskursion")</f>
        <v>0</v>
      </c>
      <c r="AE109" s="120"/>
      <c r="AF109" s="120"/>
      <c r="AG109" s="120"/>
      <c r="AH109" s="120"/>
      <c r="AI109" s="120"/>
      <c r="AJ109" s="120"/>
      <c r="AK109" s="120">
        <f>COUNTIF($AM$22:$AM$23,"Ekskursion")</f>
        <v>0</v>
      </c>
      <c r="AL109" s="120"/>
      <c r="AM109" s="120"/>
      <c r="AN109" s="121"/>
      <c r="AO109" s="120"/>
      <c r="AP109" s="120"/>
      <c r="AQ109" s="120"/>
      <c r="AR109" s="120">
        <f>COUNTIF($AT$19:$AT$20,"Ekskursion")</f>
        <v>0</v>
      </c>
      <c r="AS109" s="120"/>
      <c r="AT109" s="120"/>
      <c r="AU109" s="121"/>
      <c r="AV109" s="120"/>
      <c r="AW109" s="120"/>
      <c r="AX109" s="120"/>
      <c r="AY109" s="120">
        <f>COUNTIF($BA$19:$BA$20,"Ekskursion")</f>
        <v>0</v>
      </c>
      <c r="AZ109" s="120"/>
      <c r="BA109" s="120"/>
      <c r="BB109" s="121"/>
      <c r="BC109" s="120"/>
      <c r="BD109" s="120"/>
      <c r="BE109" s="120"/>
      <c r="BF109" s="120">
        <f>COUNTIF($BH$23:$BH$24,"Ekskursion")</f>
        <v>0</v>
      </c>
      <c r="BG109" s="120"/>
      <c r="BH109" s="120"/>
      <c r="BI109" s="120"/>
      <c r="BJ109" s="120"/>
      <c r="BK109" s="120"/>
      <c r="BL109" s="120"/>
      <c r="BM109" s="120">
        <f>COUNTIF($BO$21:$BO$22,"Ekskursion")</f>
        <v>0</v>
      </c>
      <c r="BN109" s="120"/>
      <c r="BO109" s="120"/>
      <c r="BP109" s="120"/>
      <c r="BQ109" s="120"/>
      <c r="BR109" s="120"/>
      <c r="BS109" s="120"/>
      <c r="BT109" s="120">
        <f>COUNTIF($BV$18:$BV$19,"Ekskursion")</f>
        <v>0</v>
      </c>
      <c r="BU109" s="120"/>
      <c r="BV109" s="120"/>
      <c r="BW109" s="120"/>
      <c r="BX109" s="120"/>
      <c r="BY109" s="120"/>
      <c r="BZ109" s="120"/>
      <c r="CA109" s="120">
        <f>COUNTIF($CC$23:$CC$24,"Ekskursion")</f>
        <v>0</v>
      </c>
      <c r="CB109" s="120"/>
      <c r="CC109" s="120"/>
      <c r="CD109" s="120"/>
      <c r="CE109" s="120"/>
      <c r="CF109" s="120"/>
      <c r="CG109" s="120"/>
      <c r="CH109" s="120"/>
      <c r="CI109" s="120">
        <f t="shared" si="37"/>
        <v>0</v>
      </c>
      <c r="CJ109" s="120"/>
      <c r="CK109" s="120"/>
      <c r="CL109" s="120"/>
      <c r="CM109" s="120"/>
    </row>
    <row r="110" spans="1:91" hidden="1" x14ac:dyDescent="0.2">
      <c r="A110" s="120"/>
      <c r="B110" s="120">
        <f>COUNTIF($D$28:$D$29,"Ekskursion")</f>
        <v>0</v>
      </c>
      <c r="C110" s="120"/>
      <c r="D110" s="120"/>
      <c r="E110" s="120"/>
      <c r="F110" s="120"/>
      <c r="G110" s="120"/>
      <c r="H110" s="120"/>
      <c r="I110" s="120">
        <f>COUNTIF($K$25:$K$26,"Ekskursion")</f>
        <v>0</v>
      </c>
      <c r="J110" s="120"/>
      <c r="K110" s="120"/>
      <c r="L110" s="120"/>
      <c r="M110" s="120"/>
      <c r="N110" s="120"/>
      <c r="O110" s="120"/>
      <c r="P110" s="120">
        <f>COUNTIF($R$30:$R$31,"Ekskursion")</f>
        <v>0</v>
      </c>
      <c r="Q110" s="120"/>
      <c r="R110" s="120"/>
      <c r="S110" s="120"/>
      <c r="T110" s="120"/>
      <c r="U110" s="120"/>
      <c r="V110" s="120"/>
      <c r="W110" s="120">
        <f>COUNTIF($Y$27:$Y$28,"Ekskursion")</f>
        <v>0</v>
      </c>
      <c r="X110" s="120"/>
      <c r="Y110" s="120"/>
      <c r="Z110" s="120"/>
      <c r="AA110" s="120"/>
      <c r="AB110" s="120"/>
      <c r="AC110" s="120"/>
      <c r="AD110" s="120">
        <f>COUNTIF($AF$25:$AF$26,"Ekskursion")</f>
        <v>0</v>
      </c>
      <c r="AE110" s="120"/>
      <c r="AF110" s="120"/>
      <c r="AG110" s="120"/>
      <c r="AH110" s="120"/>
      <c r="AI110" s="120"/>
      <c r="AJ110" s="120"/>
      <c r="AK110" s="120">
        <f>COUNTIF($AM$29:$AM$30,"Ekskursion")</f>
        <v>0</v>
      </c>
      <c r="AL110" s="120"/>
      <c r="AM110" s="120"/>
      <c r="AN110" s="121"/>
      <c r="AO110" s="120"/>
      <c r="AP110" s="120"/>
      <c r="AQ110" s="120"/>
      <c r="AR110" s="120">
        <f>COUNTIF($AT$26:$AT$27,"Ekskursion")</f>
        <v>0</v>
      </c>
      <c r="AS110" s="120"/>
      <c r="AT110" s="120"/>
      <c r="AU110" s="121"/>
      <c r="AV110" s="120"/>
      <c r="AW110" s="120"/>
      <c r="AX110" s="120"/>
      <c r="AY110" s="120">
        <f>COUNTIF($BA$26:$BA$27,"Ekskursion")</f>
        <v>0</v>
      </c>
      <c r="AZ110" s="120"/>
      <c r="BA110" s="120"/>
      <c r="BB110" s="121"/>
      <c r="BC110" s="120"/>
      <c r="BD110" s="120"/>
      <c r="BE110" s="120"/>
      <c r="BF110" s="120">
        <f>COUNTIF($BH$30:$BH$31,"Ekskursion")</f>
        <v>0</v>
      </c>
      <c r="BG110" s="120"/>
      <c r="BH110" s="120"/>
      <c r="BI110" s="120"/>
      <c r="BJ110" s="120"/>
      <c r="BK110" s="120"/>
      <c r="BL110" s="120"/>
      <c r="BM110" s="120">
        <f>COUNTIF($BO$28:$BO$29,"Ekskursion")</f>
        <v>0</v>
      </c>
      <c r="BN110" s="120"/>
      <c r="BO110" s="120"/>
      <c r="BP110" s="120"/>
      <c r="BQ110" s="120"/>
      <c r="BR110" s="120"/>
      <c r="BS110" s="120"/>
      <c r="BT110" s="120">
        <f>COUNTIF($BV$25:$BV$26,"Ekskursion")</f>
        <v>0</v>
      </c>
      <c r="BU110" s="120"/>
      <c r="BV110" s="120"/>
      <c r="BW110" s="120"/>
      <c r="BX110" s="120"/>
      <c r="BY110" s="120"/>
      <c r="BZ110" s="120"/>
      <c r="CA110" s="120">
        <f>COUNTIF($CC$30:$CC$31,"Ekskursion")</f>
        <v>0</v>
      </c>
      <c r="CB110" s="120"/>
      <c r="CC110" s="120"/>
      <c r="CD110" s="120"/>
      <c r="CE110" s="120"/>
      <c r="CF110" s="120"/>
      <c r="CG110" s="120"/>
      <c r="CH110" s="120"/>
      <c r="CI110" s="120">
        <f t="shared" si="37"/>
        <v>0</v>
      </c>
      <c r="CJ110" s="120"/>
      <c r="CK110" s="120"/>
      <c r="CL110" s="120"/>
      <c r="CM110" s="120"/>
    </row>
    <row r="111" spans="1:91" hidden="1" x14ac:dyDescent="0.2">
      <c r="A111" s="120"/>
      <c r="B111" s="120">
        <f>COUNTIF($D$35,"Ekskursion")</f>
        <v>0</v>
      </c>
      <c r="C111" s="120"/>
      <c r="D111" s="120"/>
      <c r="E111" s="120"/>
      <c r="F111" s="120"/>
      <c r="G111" s="120"/>
      <c r="H111" s="120"/>
      <c r="I111" s="120">
        <f>COUNTIF($K$32:$K$33,"Ekskursion")</f>
        <v>0</v>
      </c>
      <c r="J111" s="120"/>
      <c r="K111" s="120"/>
      <c r="L111" s="120"/>
      <c r="M111" s="120"/>
      <c r="N111" s="120"/>
      <c r="O111" s="120"/>
      <c r="P111" s="120"/>
      <c r="Q111" s="120"/>
      <c r="R111" s="120"/>
      <c r="S111" s="120"/>
      <c r="T111" s="120"/>
      <c r="U111" s="120"/>
      <c r="V111" s="120"/>
      <c r="W111" s="120">
        <f>COUNTIF($Y$34,"Ekskursion")</f>
        <v>0</v>
      </c>
      <c r="X111" s="120"/>
      <c r="Y111" s="120"/>
      <c r="Z111" s="120"/>
      <c r="AA111" s="120"/>
      <c r="AB111" s="120"/>
      <c r="AC111" s="120"/>
      <c r="AD111" s="120">
        <f>COUNTIF($AF$32:$AF$33,"Ekskursion")</f>
        <v>0</v>
      </c>
      <c r="AE111" s="120"/>
      <c r="AF111" s="120"/>
      <c r="AG111" s="120"/>
      <c r="AH111" s="120"/>
      <c r="AI111" s="120"/>
      <c r="AJ111" s="120"/>
      <c r="AK111" s="120"/>
      <c r="AL111" s="120"/>
      <c r="AM111" s="120"/>
      <c r="AN111" s="121"/>
      <c r="AO111" s="120"/>
      <c r="AP111" s="120"/>
      <c r="AQ111" s="120"/>
      <c r="AR111" s="120"/>
      <c r="AS111" s="120"/>
      <c r="AT111" s="120"/>
      <c r="AU111" s="121"/>
      <c r="AV111" s="120"/>
      <c r="AW111" s="120"/>
      <c r="AX111" s="120"/>
      <c r="AY111" s="120">
        <f>COUNTIF($BA$33:$BA$34,"Ekskursion")</f>
        <v>0</v>
      </c>
      <c r="AZ111" s="120"/>
      <c r="BA111" s="120"/>
      <c r="BB111" s="121"/>
      <c r="BC111" s="120"/>
      <c r="BD111" s="120"/>
      <c r="BE111" s="120"/>
      <c r="BF111" s="120"/>
      <c r="BG111" s="120"/>
      <c r="BH111" s="120"/>
      <c r="BI111" s="120"/>
      <c r="BJ111" s="120"/>
      <c r="BK111" s="120"/>
      <c r="BL111" s="120"/>
      <c r="BM111" s="120">
        <f>COUNTIF($BO$35,"Ekskursion")</f>
        <v>0</v>
      </c>
      <c r="BN111" s="120"/>
      <c r="BO111" s="120"/>
      <c r="BP111" s="120"/>
      <c r="BQ111" s="120"/>
      <c r="BR111" s="120"/>
      <c r="BS111" s="120"/>
      <c r="BT111" s="120">
        <f>COUNTIF($BV$32:$BV$33,"Ekskursion")</f>
        <v>0</v>
      </c>
      <c r="BU111" s="120"/>
      <c r="BV111" s="120"/>
      <c r="BW111" s="120"/>
      <c r="BX111" s="120"/>
      <c r="BY111" s="120"/>
      <c r="BZ111" s="120"/>
      <c r="CA111" s="120"/>
      <c r="CB111" s="120"/>
      <c r="CC111" s="120"/>
      <c r="CD111" s="120"/>
      <c r="CE111" s="120"/>
      <c r="CF111" s="120"/>
      <c r="CG111" s="120"/>
      <c r="CH111" s="120"/>
      <c r="CI111" s="120">
        <f t="shared" si="37"/>
        <v>0</v>
      </c>
      <c r="CJ111" s="120"/>
      <c r="CK111" s="120"/>
      <c r="CL111" s="120"/>
      <c r="CM111" s="120"/>
    </row>
    <row r="112" spans="1:91" hidden="1" x14ac:dyDescent="0.2">
      <c r="A112" s="120"/>
      <c r="B112" s="120" t="s">
        <v>135</v>
      </c>
      <c r="C112" s="120"/>
      <c r="D112" s="120"/>
      <c r="E112" s="120"/>
      <c r="F112" s="120"/>
      <c r="G112" s="120"/>
      <c r="H112" s="120"/>
      <c r="I112" s="120" t="s">
        <v>135</v>
      </c>
      <c r="J112" s="120"/>
      <c r="K112" s="120"/>
      <c r="L112" s="120"/>
      <c r="M112" s="120"/>
      <c r="N112" s="120"/>
      <c r="O112" s="120"/>
      <c r="P112" s="120" t="s">
        <v>135</v>
      </c>
      <c r="Q112" s="120"/>
      <c r="R112" s="120"/>
      <c r="S112" s="120"/>
      <c r="T112" s="120"/>
      <c r="U112" s="120"/>
      <c r="V112" s="120"/>
      <c r="W112" s="120" t="s">
        <v>135</v>
      </c>
      <c r="X112" s="120"/>
      <c r="Y112" s="120"/>
      <c r="Z112" s="120"/>
      <c r="AA112" s="120"/>
      <c r="AB112" s="120"/>
      <c r="AC112" s="120"/>
      <c r="AD112" s="120" t="s">
        <v>135</v>
      </c>
      <c r="AE112" s="120"/>
      <c r="AF112" s="120"/>
      <c r="AG112" s="120"/>
      <c r="AH112" s="120"/>
      <c r="AI112" s="120"/>
      <c r="AJ112" s="120"/>
      <c r="AK112" s="120" t="s">
        <v>135</v>
      </c>
      <c r="AL112" s="120"/>
      <c r="AM112" s="120"/>
      <c r="AN112" s="121"/>
      <c r="AO112" s="120"/>
      <c r="AP112" s="120"/>
      <c r="AQ112" s="120"/>
      <c r="AR112" s="120" t="s">
        <v>135</v>
      </c>
      <c r="AS112" s="120"/>
      <c r="AT112" s="120"/>
      <c r="AU112" s="121"/>
      <c r="AV112" s="120"/>
      <c r="AW112" s="120"/>
      <c r="AX112" s="120"/>
      <c r="AY112" s="120" t="s">
        <v>135</v>
      </c>
      <c r="AZ112" s="120"/>
      <c r="BA112" s="120"/>
      <c r="BB112" s="121"/>
      <c r="BC112" s="120"/>
      <c r="BD112" s="120"/>
      <c r="BE112" s="120"/>
      <c r="BF112" s="120" t="s">
        <v>135</v>
      </c>
      <c r="BG112" s="120"/>
      <c r="BH112" s="120"/>
      <c r="BI112" s="120"/>
      <c r="BJ112" s="120"/>
      <c r="BK112" s="120"/>
      <c r="BL112" s="120"/>
      <c r="BM112" s="120" t="s">
        <v>135</v>
      </c>
      <c r="BN112" s="120"/>
      <c r="BO112" s="120"/>
      <c r="BP112" s="120"/>
      <c r="BQ112" s="120"/>
      <c r="BR112" s="120"/>
      <c r="BS112" s="120"/>
      <c r="BT112" s="120" t="s">
        <v>135</v>
      </c>
      <c r="BU112" s="120"/>
      <c r="BV112" s="120"/>
      <c r="BW112" s="120"/>
      <c r="BX112" s="120"/>
      <c r="BY112" s="120"/>
      <c r="BZ112" s="120"/>
      <c r="CA112" s="120" t="s">
        <v>135</v>
      </c>
      <c r="CB112" s="120"/>
      <c r="CC112" s="120"/>
      <c r="CD112" s="120"/>
      <c r="CE112" s="120"/>
      <c r="CF112" s="120"/>
      <c r="CG112" s="120"/>
      <c r="CH112" s="120"/>
      <c r="CI112" s="120">
        <f t="shared" si="37"/>
        <v>0</v>
      </c>
      <c r="CJ112" s="120"/>
      <c r="CK112" s="120"/>
      <c r="CL112" s="120"/>
      <c r="CM112" s="120"/>
    </row>
    <row r="113" spans="1:91" hidden="1" x14ac:dyDescent="0.2">
      <c r="A113" s="120"/>
      <c r="B113" s="120">
        <f>COUNTIF($D$7:$D$8,"Pæd.dag")</f>
        <v>0</v>
      </c>
      <c r="C113" s="120"/>
      <c r="D113" s="120"/>
      <c r="E113" s="120"/>
      <c r="F113" s="120"/>
      <c r="G113" s="120"/>
      <c r="H113" s="120"/>
      <c r="I113" s="120">
        <f>COUNTIF($K$5,"Pæd.dag")</f>
        <v>0</v>
      </c>
      <c r="J113" s="120"/>
      <c r="K113" s="120"/>
      <c r="L113" s="120"/>
      <c r="M113" s="120"/>
      <c r="N113" s="120"/>
      <c r="O113" s="120"/>
      <c r="P113" s="120">
        <f>COUNTIF($R$9:$R$10,"Pæd.dag")</f>
        <v>0</v>
      </c>
      <c r="Q113" s="120"/>
      <c r="R113" s="120"/>
      <c r="S113" s="120"/>
      <c r="T113" s="120"/>
      <c r="U113" s="120"/>
      <c r="V113" s="120"/>
      <c r="W113" s="120">
        <f>COUNTIF($Y$6:$Y$7,"Pæd.dag")</f>
        <v>0</v>
      </c>
      <c r="X113" s="120"/>
      <c r="Y113" s="120"/>
      <c r="Z113" s="120"/>
      <c r="AA113" s="120"/>
      <c r="AB113" s="120"/>
      <c r="AC113" s="120"/>
      <c r="AD113" s="120">
        <f>COUNTIF($AF$5,"Pæd.dag")</f>
        <v>0</v>
      </c>
      <c r="AE113" s="120"/>
      <c r="AF113" s="120"/>
      <c r="AG113" s="120"/>
      <c r="AH113" s="120"/>
      <c r="AI113" s="120"/>
      <c r="AJ113" s="120"/>
      <c r="AK113" s="120">
        <f>COUNTIF($AM$8:$AM$9,"Pæd.dag")</f>
        <v>0</v>
      </c>
      <c r="AL113" s="120"/>
      <c r="AM113" s="120"/>
      <c r="AN113" s="121"/>
      <c r="AO113" s="120"/>
      <c r="AP113" s="120"/>
      <c r="AQ113" s="120"/>
      <c r="AR113" s="120">
        <f>COUNTIF($AT$5:$AT$6,"Pæd.dag")</f>
        <v>0</v>
      </c>
      <c r="AS113" s="120"/>
      <c r="AT113" s="120"/>
      <c r="AU113" s="121"/>
      <c r="AV113" s="120"/>
      <c r="AW113" s="120"/>
      <c r="AX113" s="120"/>
      <c r="AY113" s="120">
        <f>COUNTIF($BA$5:$BA$6,"Pæd.dag")</f>
        <v>0</v>
      </c>
      <c r="AZ113" s="120"/>
      <c r="BA113" s="120"/>
      <c r="BB113" s="121"/>
      <c r="BC113" s="120"/>
      <c r="BD113" s="120"/>
      <c r="BE113" s="120"/>
      <c r="BF113" s="120">
        <f>COUNTIF($BH$9:$BH$10,"Pæd.dag")</f>
        <v>0</v>
      </c>
      <c r="BG113" s="120"/>
      <c r="BH113" s="120"/>
      <c r="BI113" s="120"/>
      <c r="BJ113" s="120"/>
      <c r="BK113" s="120"/>
      <c r="BL113" s="120"/>
      <c r="BM113" s="120">
        <f>COUNTIF($BO$7:$BO$8,"Pæd.dag")</f>
        <v>0</v>
      </c>
      <c r="BN113" s="120"/>
      <c r="BO113" s="120"/>
      <c r="BP113" s="120"/>
      <c r="BQ113" s="120"/>
      <c r="BR113" s="120"/>
      <c r="BS113" s="120"/>
      <c r="BT113" s="120">
        <f>COUNTIF($BV$5,"Pæd.dag")</f>
        <v>0</v>
      </c>
      <c r="BU113" s="120"/>
      <c r="BV113" s="120"/>
      <c r="BW113" s="120"/>
      <c r="BX113" s="120"/>
      <c r="BY113" s="120"/>
      <c r="BZ113" s="120"/>
      <c r="CA113" s="120">
        <f>COUNTIF($CC$9:$CC$10,"Pæd.dag")</f>
        <v>0</v>
      </c>
      <c r="CB113" s="120"/>
      <c r="CC113" s="120"/>
      <c r="CD113" s="120"/>
      <c r="CE113" s="120"/>
      <c r="CF113" s="120"/>
      <c r="CG113" s="120"/>
      <c r="CH113" s="120"/>
      <c r="CI113" s="120">
        <f t="shared" si="37"/>
        <v>0</v>
      </c>
      <c r="CJ113" s="120"/>
      <c r="CK113" s="120"/>
      <c r="CL113" s="120"/>
      <c r="CM113" s="120"/>
    </row>
    <row r="114" spans="1:91" hidden="1" x14ac:dyDescent="0.2">
      <c r="A114" s="120"/>
      <c r="B114" s="120">
        <f>COUNTIF($D$14:$D$15,"Pæd.dag")</f>
        <v>0</v>
      </c>
      <c r="C114" s="120"/>
      <c r="D114" s="120"/>
      <c r="E114" s="120"/>
      <c r="F114" s="120"/>
      <c r="G114" s="120"/>
      <c r="H114" s="120"/>
      <c r="I114" s="120">
        <f>COUNTIF($K$11:$K$12,"Pæd.dag")</f>
        <v>0</v>
      </c>
      <c r="J114" s="120"/>
      <c r="K114" s="120"/>
      <c r="L114" s="120"/>
      <c r="M114" s="120"/>
      <c r="N114" s="120"/>
      <c r="O114" s="120"/>
      <c r="P114" s="120">
        <f>COUNTIF($R$16:$R$17,"Pæd.dag")</f>
        <v>0</v>
      </c>
      <c r="Q114" s="120"/>
      <c r="R114" s="120"/>
      <c r="S114" s="120"/>
      <c r="T114" s="120"/>
      <c r="U114" s="120"/>
      <c r="V114" s="120"/>
      <c r="W114" s="120">
        <f>COUNTIF($Y$13:$Y$14,"Pæd.dag")</f>
        <v>0</v>
      </c>
      <c r="X114" s="120"/>
      <c r="Y114" s="120"/>
      <c r="Z114" s="120"/>
      <c r="AA114" s="120"/>
      <c r="AB114" s="120"/>
      <c r="AC114" s="120"/>
      <c r="AD114" s="120">
        <f>COUNTIF($AF$11:$AF$12,"Pæd.dag")</f>
        <v>0</v>
      </c>
      <c r="AE114" s="120"/>
      <c r="AF114" s="120"/>
      <c r="AG114" s="120"/>
      <c r="AH114" s="120"/>
      <c r="AI114" s="120"/>
      <c r="AJ114" s="120"/>
      <c r="AK114" s="120">
        <f>COUNTIF($AM$15:$AM$16,"Pæd.dag")</f>
        <v>0</v>
      </c>
      <c r="AL114" s="120"/>
      <c r="AM114" s="120"/>
      <c r="AN114" s="121"/>
      <c r="AO114" s="120"/>
      <c r="AP114" s="120"/>
      <c r="AQ114" s="120"/>
      <c r="AR114" s="120">
        <f>COUNTIF($AT$12:$AT$13,"Pæd.dag")</f>
        <v>0</v>
      </c>
      <c r="AS114" s="120"/>
      <c r="AT114" s="120"/>
      <c r="AU114" s="121"/>
      <c r="AV114" s="120"/>
      <c r="AW114" s="120"/>
      <c r="AX114" s="120"/>
      <c r="AY114" s="120">
        <f>COUNTIF($BA$12:$BA$13,"Pæd.dag")</f>
        <v>0</v>
      </c>
      <c r="AZ114" s="120"/>
      <c r="BA114" s="120"/>
      <c r="BB114" s="121"/>
      <c r="BC114" s="120"/>
      <c r="BD114" s="120"/>
      <c r="BE114" s="120"/>
      <c r="BF114" s="120">
        <f>COUNTIF($BH$16:$BH$17,"Pæd.dag")</f>
        <v>0</v>
      </c>
      <c r="BG114" s="120"/>
      <c r="BH114" s="120"/>
      <c r="BI114" s="120"/>
      <c r="BJ114" s="120"/>
      <c r="BK114" s="120"/>
      <c r="BL114" s="120"/>
      <c r="BM114" s="120">
        <f>COUNTIF($BO$14:$BO$15,"Pæd.dag")</f>
        <v>0</v>
      </c>
      <c r="BN114" s="120"/>
      <c r="BO114" s="120"/>
      <c r="BP114" s="120"/>
      <c r="BQ114" s="120"/>
      <c r="BR114" s="120"/>
      <c r="BS114" s="120"/>
      <c r="BT114" s="120">
        <f>COUNTIF($BV$11:$BV$12,"Pæd.dag")</f>
        <v>0</v>
      </c>
      <c r="BU114" s="120"/>
      <c r="BV114" s="120"/>
      <c r="BW114" s="120"/>
      <c r="BX114" s="120"/>
      <c r="BY114" s="120"/>
      <c r="BZ114" s="120"/>
      <c r="CA114" s="120">
        <f>COUNTIF($CC$16:$CC$17,"Pæd.dag")</f>
        <v>0</v>
      </c>
      <c r="CB114" s="120"/>
      <c r="CC114" s="120"/>
      <c r="CD114" s="120"/>
      <c r="CE114" s="120"/>
      <c r="CF114" s="120"/>
      <c r="CG114" s="120"/>
      <c r="CH114" s="120"/>
      <c r="CI114" s="120">
        <f t="shared" si="37"/>
        <v>0</v>
      </c>
      <c r="CJ114" s="120"/>
      <c r="CK114" s="120"/>
      <c r="CL114" s="120"/>
      <c r="CM114" s="120"/>
    </row>
    <row r="115" spans="1:91" hidden="1" x14ac:dyDescent="0.2">
      <c r="A115" s="120"/>
      <c r="B115" s="120">
        <f>COUNTIF($D$21:$D$22,"Pæd.dag")</f>
        <v>0</v>
      </c>
      <c r="C115" s="120"/>
      <c r="D115" s="120"/>
      <c r="E115" s="120"/>
      <c r="F115" s="120"/>
      <c r="G115" s="120"/>
      <c r="H115" s="120"/>
      <c r="I115" s="120">
        <f>COUNTIF($K$18:$K$19,"Pæd.dag")</f>
        <v>0</v>
      </c>
      <c r="J115" s="120"/>
      <c r="K115" s="120"/>
      <c r="L115" s="120"/>
      <c r="M115" s="120"/>
      <c r="N115" s="120"/>
      <c r="O115" s="120"/>
      <c r="P115" s="120">
        <f>COUNTIF($R$23:$R$24,"Pæd.dag")</f>
        <v>0</v>
      </c>
      <c r="Q115" s="120"/>
      <c r="R115" s="120"/>
      <c r="S115" s="120"/>
      <c r="T115" s="120"/>
      <c r="U115" s="120"/>
      <c r="V115" s="120"/>
      <c r="W115" s="120">
        <f>COUNTIF($Y$20:$Y$21,"Pæd.dag")</f>
        <v>0</v>
      </c>
      <c r="X115" s="120"/>
      <c r="Y115" s="120"/>
      <c r="Z115" s="120"/>
      <c r="AA115" s="120"/>
      <c r="AB115" s="120"/>
      <c r="AC115" s="120"/>
      <c r="AD115" s="120">
        <f>COUNTIF($AF$18:$AF$19,"Pæd.dag")</f>
        <v>0</v>
      </c>
      <c r="AE115" s="120"/>
      <c r="AF115" s="120"/>
      <c r="AG115" s="120"/>
      <c r="AH115" s="120"/>
      <c r="AI115" s="120"/>
      <c r="AJ115" s="120"/>
      <c r="AK115" s="120">
        <f>COUNTIF($AM$22:$AM$23,"Pæd.dag")</f>
        <v>0</v>
      </c>
      <c r="AL115" s="120"/>
      <c r="AM115" s="120"/>
      <c r="AN115" s="121"/>
      <c r="AO115" s="120"/>
      <c r="AP115" s="120"/>
      <c r="AQ115" s="120"/>
      <c r="AR115" s="120">
        <f>COUNTIF($AT$19:$AT$20,"Pæd.dag")</f>
        <v>0</v>
      </c>
      <c r="AS115" s="120"/>
      <c r="AT115" s="120"/>
      <c r="AU115" s="121"/>
      <c r="AV115" s="120"/>
      <c r="AW115" s="120"/>
      <c r="AX115" s="120"/>
      <c r="AY115" s="120">
        <f>COUNTIF($BA$19:$BA$20,"Pæd.dag")</f>
        <v>0</v>
      </c>
      <c r="AZ115" s="120"/>
      <c r="BA115" s="120"/>
      <c r="BB115" s="121"/>
      <c r="BC115" s="120"/>
      <c r="BD115" s="120"/>
      <c r="BE115" s="120"/>
      <c r="BF115" s="120">
        <f>COUNTIF($BH$23:$BH$24,"Pæd.dag")</f>
        <v>0</v>
      </c>
      <c r="BG115" s="120"/>
      <c r="BH115" s="120"/>
      <c r="BI115" s="120"/>
      <c r="BJ115" s="120"/>
      <c r="BK115" s="120"/>
      <c r="BL115" s="120"/>
      <c r="BM115" s="120">
        <f>COUNTIF($BO$21:$BO$22,"Pæd.dag")</f>
        <v>0</v>
      </c>
      <c r="BN115" s="120"/>
      <c r="BO115" s="120"/>
      <c r="BP115" s="120"/>
      <c r="BQ115" s="120"/>
      <c r="BR115" s="120"/>
      <c r="BS115" s="120"/>
      <c r="BT115" s="120">
        <f>COUNTIF($BV$18:$BV$19,"Pæd.dag")</f>
        <v>0</v>
      </c>
      <c r="BU115" s="120"/>
      <c r="BV115" s="120"/>
      <c r="BW115" s="120"/>
      <c r="BX115" s="120"/>
      <c r="BY115" s="120"/>
      <c r="BZ115" s="120"/>
      <c r="CA115" s="120">
        <f>COUNTIF($CC$23:$CC$24,"Pæd.dag")</f>
        <v>0</v>
      </c>
      <c r="CB115" s="120"/>
      <c r="CC115" s="120"/>
      <c r="CD115" s="120"/>
      <c r="CE115" s="120"/>
      <c r="CF115" s="120"/>
      <c r="CG115" s="120"/>
      <c r="CH115" s="120"/>
      <c r="CI115" s="120">
        <f t="shared" si="37"/>
        <v>0</v>
      </c>
      <c r="CJ115" s="120"/>
      <c r="CK115" s="120"/>
      <c r="CL115" s="120"/>
      <c r="CM115" s="120"/>
    </row>
    <row r="116" spans="1:91" hidden="1" x14ac:dyDescent="0.2">
      <c r="A116" s="120"/>
      <c r="B116" s="120">
        <f>COUNTIF($D$28:$D$29,"Pæd.dag")</f>
        <v>0</v>
      </c>
      <c r="C116" s="120"/>
      <c r="D116" s="120"/>
      <c r="E116" s="120"/>
      <c r="F116" s="120"/>
      <c r="G116" s="120"/>
      <c r="H116" s="120"/>
      <c r="I116" s="120">
        <f>COUNTIF($K$25:$K$26,"Pæd.dag")</f>
        <v>0</v>
      </c>
      <c r="J116" s="120"/>
      <c r="K116" s="120"/>
      <c r="L116" s="120"/>
      <c r="M116" s="120"/>
      <c r="N116" s="120"/>
      <c r="O116" s="120"/>
      <c r="P116" s="120">
        <f>COUNTIF($R$30:$R$31,"Pæd.dag")</f>
        <v>0</v>
      </c>
      <c r="Q116" s="120"/>
      <c r="R116" s="120"/>
      <c r="S116" s="120"/>
      <c r="T116" s="120"/>
      <c r="U116" s="120"/>
      <c r="V116" s="120"/>
      <c r="W116" s="120">
        <f>COUNTIF($Y$27:$Y$28,"Pæd.dag")</f>
        <v>0</v>
      </c>
      <c r="X116" s="120"/>
      <c r="Y116" s="120"/>
      <c r="Z116" s="120"/>
      <c r="AA116" s="120"/>
      <c r="AB116" s="120"/>
      <c r="AC116" s="120"/>
      <c r="AD116" s="120">
        <f>COUNTIF($AF$25:$AF$26,"Pæd.dag")</f>
        <v>0</v>
      </c>
      <c r="AE116" s="120"/>
      <c r="AF116" s="120"/>
      <c r="AG116" s="120"/>
      <c r="AH116" s="120"/>
      <c r="AI116" s="120"/>
      <c r="AJ116" s="120"/>
      <c r="AK116" s="120">
        <f>COUNTIF($AM$29:$AM$30,"Pæd.dag")</f>
        <v>0</v>
      </c>
      <c r="AL116" s="120"/>
      <c r="AM116" s="120"/>
      <c r="AN116" s="121"/>
      <c r="AO116" s="120"/>
      <c r="AP116" s="120"/>
      <c r="AQ116" s="120"/>
      <c r="AR116" s="120">
        <f>COUNTIF($AT$26:$AT$27,"Pæd.dag")</f>
        <v>0</v>
      </c>
      <c r="AS116" s="120"/>
      <c r="AT116" s="120"/>
      <c r="AU116" s="121"/>
      <c r="AV116" s="120"/>
      <c r="AW116" s="120"/>
      <c r="AX116" s="120"/>
      <c r="AY116" s="120">
        <f>COUNTIF($BA$26:$BA$27,"Pæd.dag")</f>
        <v>0</v>
      </c>
      <c r="AZ116" s="120"/>
      <c r="BA116" s="120"/>
      <c r="BB116" s="121"/>
      <c r="BC116" s="120"/>
      <c r="BD116" s="120"/>
      <c r="BE116" s="120"/>
      <c r="BF116" s="120">
        <f>COUNTIF($BH$30:$BH$31,"Pæd.dag")</f>
        <v>0</v>
      </c>
      <c r="BG116" s="120"/>
      <c r="BH116" s="120"/>
      <c r="BI116" s="120"/>
      <c r="BJ116" s="120"/>
      <c r="BK116" s="120"/>
      <c r="BL116" s="120"/>
      <c r="BM116" s="120">
        <f>COUNTIF($BO$28:$BO$29,"Pæd.dag")</f>
        <v>0</v>
      </c>
      <c r="BN116" s="120"/>
      <c r="BO116" s="120"/>
      <c r="BP116" s="120"/>
      <c r="BQ116" s="120"/>
      <c r="BR116" s="120"/>
      <c r="BS116" s="120"/>
      <c r="BT116" s="120">
        <f>COUNTIF($BV$25:$BV$26,"Pæd.dag")</f>
        <v>0</v>
      </c>
      <c r="BU116" s="120"/>
      <c r="BV116" s="120"/>
      <c r="BW116" s="120"/>
      <c r="BX116" s="120"/>
      <c r="BY116" s="120"/>
      <c r="BZ116" s="120"/>
      <c r="CA116" s="120">
        <f>COUNTIF($CC$30:$CC$31,"Pæd.dag")</f>
        <v>0</v>
      </c>
      <c r="CB116" s="120"/>
      <c r="CC116" s="120"/>
      <c r="CD116" s="120"/>
      <c r="CE116" s="120"/>
      <c r="CF116" s="120"/>
      <c r="CG116" s="120"/>
      <c r="CH116" s="120"/>
      <c r="CI116" s="120">
        <f t="shared" si="37"/>
        <v>0</v>
      </c>
      <c r="CJ116" s="120"/>
      <c r="CK116" s="120"/>
      <c r="CL116" s="120"/>
      <c r="CM116" s="120"/>
    </row>
    <row r="117" spans="1:91" hidden="1" x14ac:dyDescent="0.2">
      <c r="A117" s="120"/>
      <c r="B117" s="120">
        <f>COUNTIF($D$35,"Pæd.dag")</f>
        <v>0</v>
      </c>
      <c r="C117" s="120"/>
      <c r="D117" s="120"/>
      <c r="E117" s="120"/>
      <c r="F117" s="120"/>
      <c r="G117" s="120"/>
      <c r="H117" s="120"/>
      <c r="I117" s="120">
        <f>COUNTIF($K$32:$K$33,"Pæd.dag")</f>
        <v>0</v>
      </c>
      <c r="J117" s="120"/>
      <c r="K117" s="120"/>
      <c r="L117" s="120"/>
      <c r="M117" s="120"/>
      <c r="N117" s="120"/>
      <c r="O117" s="120"/>
      <c r="P117" s="120"/>
      <c r="Q117" s="120"/>
      <c r="R117" s="120"/>
      <c r="S117" s="120"/>
      <c r="T117" s="120"/>
      <c r="U117" s="120"/>
      <c r="V117" s="120"/>
      <c r="W117" s="120">
        <f>COUNTIF($Y$34,"Pæd.dag")</f>
        <v>0</v>
      </c>
      <c r="X117" s="120"/>
      <c r="Y117" s="120"/>
      <c r="Z117" s="120"/>
      <c r="AA117" s="120"/>
      <c r="AB117" s="120"/>
      <c r="AC117" s="120"/>
      <c r="AD117" s="120">
        <f>COUNTIF($AF$32:$AF$33,"Pæd.dag")</f>
        <v>0</v>
      </c>
      <c r="AE117" s="120"/>
      <c r="AF117" s="120"/>
      <c r="AG117" s="120"/>
      <c r="AH117" s="120"/>
      <c r="AI117" s="120"/>
      <c r="AJ117" s="120"/>
      <c r="AK117" s="120"/>
      <c r="AL117" s="120"/>
      <c r="AM117" s="120"/>
      <c r="AN117" s="121"/>
      <c r="AO117" s="120"/>
      <c r="AP117" s="120"/>
      <c r="AQ117" s="120"/>
      <c r="AR117" s="120"/>
      <c r="AS117" s="120"/>
      <c r="AT117" s="120"/>
      <c r="AU117" s="121"/>
      <c r="AV117" s="120"/>
      <c r="AW117" s="120"/>
      <c r="AX117" s="120"/>
      <c r="AY117" s="120">
        <f>COUNTIF($BA$33:$BA$34,"Pæd.dag")</f>
        <v>0</v>
      </c>
      <c r="AZ117" s="120"/>
      <c r="BA117" s="120"/>
      <c r="BB117" s="121"/>
      <c r="BC117" s="120"/>
      <c r="BD117" s="120"/>
      <c r="BE117" s="120"/>
      <c r="BF117" s="120"/>
      <c r="BG117" s="120"/>
      <c r="BH117" s="120"/>
      <c r="BI117" s="120"/>
      <c r="BJ117" s="120"/>
      <c r="BK117" s="120"/>
      <c r="BL117" s="120"/>
      <c r="BM117" s="120">
        <f>COUNTIF($BO$35,"Pæd.dag")</f>
        <v>0</v>
      </c>
      <c r="BN117" s="120"/>
      <c r="BO117" s="120"/>
      <c r="BP117" s="120"/>
      <c r="BQ117" s="120"/>
      <c r="BR117" s="120"/>
      <c r="BS117" s="120"/>
      <c r="BT117" s="120">
        <f>COUNTIF($BV$32:$BV$33,"Pæd.dag")</f>
        <v>0</v>
      </c>
      <c r="BU117" s="120"/>
      <c r="BV117" s="120"/>
      <c r="BW117" s="120"/>
      <c r="BX117" s="120"/>
      <c r="BY117" s="120"/>
      <c r="BZ117" s="120"/>
      <c r="CA117" s="120"/>
      <c r="CB117" s="120"/>
      <c r="CC117" s="120"/>
      <c r="CD117" s="120"/>
      <c r="CE117" s="120"/>
      <c r="CF117" s="120"/>
      <c r="CG117" s="120"/>
      <c r="CH117" s="120"/>
      <c r="CI117" s="120">
        <f t="shared" si="37"/>
        <v>0</v>
      </c>
      <c r="CJ117" s="120"/>
      <c r="CK117" s="120"/>
      <c r="CL117" s="120"/>
      <c r="CM117" s="120"/>
    </row>
    <row r="118" spans="1:91" hidden="1" x14ac:dyDescent="0.2">
      <c r="A118" s="120"/>
      <c r="B118" s="120"/>
      <c r="C118" s="120"/>
      <c r="D118" s="120"/>
      <c r="E118" s="120"/>
      <c r="F118" s="120"/>
      <c r="G118" s="120"/>
      <c r="H118" s="120"/>
      <c r="I118" s="120"/>
      <c r="J118" s="120"/>
      <c r="K118" s="120"/>
      <c r="L118" s="120"/>
      <c r="M118" s="120"/>
      <c r="N118" s="120"/>
      <c r="O118" s="120"/>
      <c r="P118" s="120">
        <f>SUM(P65:P117)</f>
        <v>0</v>
      </c>
      <c r="Q118" s="120"/>
      <c r="R118" s="120"/>
      <c r="S118" s="120"/>
      <c r="T118" s="120"/>
      <c r="U118" s="120"/>
      <c r="V118" s="120"/>
      <c r="W118" s="120">
        <f>SUM(W65:W116)</f>
        <v>0</v>
      </c>
      <c r="X118" s="120"/>
      <c r="Y118" s="120"/>
      <c r="Z118" s="120"/>
      <c r="AA118" s="120"/>
      <c r="AB118" s="120"/>
      <c r="AC118" s="120"/>
      <c r="AD118" s="120">
        <f>SUM(AD66:AD117)</f>
        <v>0</v>
      </c>
      <c r="AE118" s="120"/>
      <c r="AF118" s="120"/>
      <c r="AG118" s="120"/>
      <c r="AH118" s="120"/>
      <c r="AI118" s="120"/>
      <c r="AJ118" s="120"/>
      <c r="AK118" s="120">
        <f>SUM(AK66:AK117)</f>
        <v>0</v>
      </c>
      <c r="AL118" s="120"/>
      <c r="AM118" s="120"/>
      <c r="AN118" s="121"/>
      <c r="AO118" s="120"/>
      <c r="AP118" s="120"/>
      <c r="AQ118" s="120"/>
      <c r="AR118" s="120">
        <f>SUM(AR65:AR117)</f>
        <v>0</v>
      </c>
      <c r="AS118" s="120"/>
      <c r="AT118" s="120"/>
      <c r="AU118" s="121"/>
      <c r="AV118" s="120"/>
      <c r="AW118" s="120"/>
      <c r="AX118" s="120"/>
      <c r="AY118" s="120">
        <f>SUM(AY65:AY117)</f>
        <v>0</v>
      </c>
      <c r="AZ118" s="120"/>
      <c r="BA118" s="120"/>
      <c r="BB118" s="121"/>
      <c r="BC118" s="120"/>
      <c r="BD118" s="120"/>
      <c r="BE118" s="120"/>
      <c r="BF118" s="120">
        <f>SUM(BF66:BF117)</f>
        <v>0</v>
      </c>
      <c r="BG118" s="120"/>
      <c r="BH118" s="120"/>
      <c r="BI118" s="120"/>
      <c r="BJ118" s="120"/>
      <c r="BK118" s="120"/>
      <c r="BL118" s="120"/>
      <c r="BM118" s="120">
        <f>SUM(BM65:BM117)</f>
        <v>0</v>
      </c>
      <c r="BN118" s="120"/>
      <c r="BO118" s="120"/>
      <c r="BP118" s="120"/>
      <c r="BQ118" s="120"/>
      <c r="BR118" s="120"/>
      <c r="BS118" s="120"/>
      <c r="BT118" s="120">
        <f>SUM(BT66:BT117)</f>
        <v>0</v>
      </c>
      <c r="BU118" s="120"/>
      <c r="BV118" s="120"/>
      <c r="BW118" s="120"/>
      <c r="BX118" s="120"/>
      <c r="BY118" s="120"/>
      <c r="BZ118" s="120"/>
      <c r="CA118" s="120">
        <f>SUM(CA66:CA117)</f>
        <v>0</v>
      </c>
      <c r="CB118" s="120"/>
      <c r="CC118" s="120"/>
      <c r="CD118" s="120"/>
      <c r="CE118" s="120"/>
      <c r="CF118" s="120"/>
      <c r="CG118" s="120"/>
      <c r="CH118" s="120"/>
      <c r="CI118" s="120">
        <f>SUM(CI65:CI117)</f>
        <v>0</v>
      </c>
      <c r="CJ118" s="120"/>
      <c r="CK118" s="120" t="s">
        <v>144</v>
      </c>
      <c r="CL118" s="120"/>
      <c r="CM118" s="120"/>
    </row>
    <row r="119" spans="1:91" hidden="1" x14ac:dyDescent="0.2">
      <c r="A119" s="120"/>
      <c r="B119" s="120">
        <f>SUM(B65:B118)</f>
        <v>0</v>
      </c>
      <c r="C119" s="120"/>
      <c r="D119" s="120"/>
      <c r="E119" s="120"/>
      <c r="F119" s="120"/>
      <c r="G119" s="120"/>
      <c r="H119" s="120"/>
      <c r="I119" s="120">
        <f>SUM(I65:I118)</f>
        <v>0</v>
      </c>
      <c r="J119" s="120"/>
      <c r="K119" s="120"/>
      <c r="L119" s="120"/>
      <c r="M119" s="120"/>
      <c r="N119" s="120"/>
      <c r="O119" s="120"/>
      <c r="P119" s="120"/>
      <c r="Q119" s="120"/>
      <c r="R119" s="120"/>
      <c r="S119" s="120"/>
      <c r="T119" s="120"/>
      <c r="U119" s="120"/>
      <c r="V119" s="120"/>
      <c r="W119" s="120"/>
      <c r="X119" s="120"/>
      <c r="Y119" s="120"/>
      <c r="Z119" s="120"/>
      <c r="AA119" s="120"/>
      <c r="AB119" s="120"/>
      <c r="AC119" s="120"/>
      <c r="AD119" s="120"/>
      <c r="AE119" s="120"/>
      <c r="AF119" s="120"/>
      <c r="AG119" s="120"/>
      <c r="AH119" s="120"/>
      <c r="AI119" s="120"/>
      <c r="AJ119" s="120"/>
      <c r="AK119" s="120"/>
      <c r="AL119" s="120"/>
      <c r="AM119" s="120"/>
      <c r="AN119" s="121"/>
      <c r="AO119" s="120"/>
      <c r="AP119" s="120"/>
      <c r="AQ119" s="120"/>
      <c r="AR119" s="120"/>
      <c r="AS119" s="120"/>
      <c r="AT119" s="120"/>
      <c r="AU119" s="121"/>
      <c r="AV119" s="120"/>
      <c r="AW119" s="120"/>
      <c r="AX119" s="120"/>
      <c r="AY119" s="120"/>
      <c r="AZ119" s="120"/>
      <c r="BA119" s="120"/>
      <c r="BB119" s="121"/>
      <c r="BC119" s="120"/>
      <c r="BD119" s="120"/>
      <c r="BE119" s="120"/>
      <c r="BF119" s="120"/>
      <c r="BG119" s="120"/>
      <c r="BH119" s="120"/>
      <c r="BI119" s="120"/>
      <c r="BJ119" s="120"/>
      <c r="BK119" s="120"/>
      <c r="BL119" s="120"/>
      <c r="BM119" s="120"/>
      <c r="BN119" s="120"/>
      <c r="BO119" s="120"/>
      <c r="BP119" s="120"/>
      <c r="BQ119" s="120"/>
      <c r="BR119" s="120"/>
      <c r="BS119" s="120"/>
      <c r="BT119" s="120"/>
      <c r="BU119" s="120"/>
      <c r="BV119" s="120"/>
      <c r="BW119" s="120"/>
      <c r="BX119" s="120"/>
      <c r="BY119" s="120"/>
      <c r="BZ119" s="120"/>
      <c r="CA119" s="120"/>
      <c r="CB119" s="120"/>
      <c r="CC119" s="120"/>
      <c r="CD119" s="120"/>
      <c r="CE119" s="120"/>
      <c r="CF119" s="120"/>
      <c r="CG119" s="120"/>
      <c r="CH119" s="120"/>
      <c r="CI119" s="120"/>
      <c r="CJ119" s="120"/>
      <c r="CK119" s="120">
        <f>SUM(CI65:CI100)</f>
        <v>0</v>
      </c>
      <c r="CL119" s="120"/>
      <c r="CM119" s="120"/>
    </row>
    <row r="120" spans="1:91" hidden="1" x14ac:dyDescent="0.2">
      <c r="A120" s="120"/>
      <c r="B120" s="120"/>
      <c r="C120" s="120"/>
      <c r="D120" s="120"/>
      <c r="E120" s="120"/>
      <c r="F120" s="120"/>
      <c r="G120" s="120"/>
      <c r="H120" s="120"/>
      <c r="I120" s="120"/>
      <c r="J120" s="120"/>
      <c r="K120" s="120"/>
      <c r="L120" s="120"/>
      <c r="M120" s="120"/>
      <c r="N120" s="120"/>
      <c r="O120" s="120"/>
      <c r="P120" s="120"/>
      <c r="Q120" s="120"/>
      <c r="R120" s="120"/>
      <c r="S120" s="120"/>
      <c r="T120" s="120"/>
      <c r="U120" s="120"/>
      <c r="V120" s="120"/>
      <c r="W120" s="120"/>
      <c r="X120" s="120"/>
      <c r="Y120" s="120"/>
      <c r="Z120" s="120"/>
      <c r="AA120" s="120"/>
      <c r="AB120" s="120"/>
      <c r="AC120" s="120"/>
      <c r="AD120" s="120"/>
      <c r="AE120" s="120"/>
      <c r="AF120" s="120"/>
      <c r="AG120" s="120"/>
      <c r="AH120" s="120"/>
      <c r="AI120" s="120"/>
      <c r="AJ120" s="120"/>
      <c r="AK120" s="120"/>
      <c r="AL120" s="120"/>
      <c r="AM120" s="120"/>
      <c r="AN120" s="121"/>
      <c r="AO120" s="120"/>
      <c r="AP120" s="120"/>
      <c r="AQ120" s="120"/>
      <c r="AR120" s="120"/>
      <c r="AS120" s="120"/>
      <c r="AT120" s="120"/>
      <c r="AU120" s="121"/>
      <c r="AV120" s="120"/>
      <c r="AW120" s="120"/>
      <c r="AX120" s="120"/>
      <c r="AY120" s="120"/>
      <c r="AZ120" s="120"/>
      <c r="BA120" s="120"/>
      <c r="BB120" s="121"/>
      <c r="BC120" s="120"/>
      <c r="BD120" s="120"/>
      <c r="BE120" s="120"/>
      <c r="BF120" s="120"/>
      <c r="BG120" s="120"/>
      <c r="BH120" s="120"/>
      <c r="BI120" s="120"/>
      <c r="BJ120" s="120"/>
      <c r="BK120" s="120"/>
      <c r="BL120" s="120"/>
      <c r="BM120" s="120"/>
      <c r="BN120" s="120"/>
      <c r="BO120" s="120"/>
      <c r="BP120" s="120"/>
      <c r="BQ120" s="120"/>
      <c r="BR120" s="120"/>
      <c r="BS120" s="120"/>
      <c r="BT120" s="120"/>
      <c r="BU120" s="120"/>
      <c r="BV120" s="120"/>
      <c r="BW120" s="120"/>
      <c r="BX120" s="120"/>
      <c r="BY120" s="120"/>
      <c r="BZ120" s="120"/>
      <c r="CA120" s="120"/>
      <c r="CB120" s="120"/>
      <c r="CC120" s="120"/>
      <c r="CD120" s="120"/>
      <c r="CE120" s="120"/>
      <c r="CF120" s="120"/>
      <c r="CG120" s="120"/>
      <c r="CH120" s="120"/>
      <c r="CI120" s="120"/>
      <c r="CJ120" s="120"/>
      <c r="CK120" s="120"/>
      <c r="CL120" s="120"/>
      <c r="CM120" s="120"/>
    </row>
    <row r="121" spans="1:91" hidden="1" x14ac:dyDescent="0.2">
      <c r="A121" s="120"/>
      <c r="B121" s="120"/>
      <c r="C121" s="120"/>
      <c r="D121" s="120"/>
      <c r="E121" s="120"/>
      <c r="F121" s="120"/>
      <c r="G121" s="120"/>
      <c r="H121" s="120"/>
      <c r="I121" s="120"/>
      <c r="J121" s="120"/>
      <c r="K121" s="120"/>
      <c r="L121" s="120"/>
      <c r="M121" s="120"/>
      <c r="N121" s="120"/>
      <c r="O121" s="120"/>
      <c r="P121" s="120"/>
      <c r="Q121" s="120"/>
      <c r="R121" s="120"/>
      <c r="S121" s="120"/>
      <c r="T121" s="120"/>
      <c r="U121" s="120"/>
      <c r="V121" s="120"/>
      <c r="W121" s="120"/>
      <c r="X121" s="120"/>
      <c r="Y121" s="120"/>
      <c r="Z121" s="120"/>
      <c r="AA121" s="120"/>
      <c r="AB121" s="120"/>
      <c r="AC121" s="120"/>
      <c r="AD121" s="120"/>
      <c r="AE121" s="120"/>
      <c r="AF121" s="120"/>
      <c r="AG121" s="120"/>
      <c r="AH121" s="120"/>
      <c r="AI121" s="120"/>
      <c r="AJ121" s="120"/>
      <c r="AK121" s="120"/>
      <c r="AL121" s="120"/>
      <c r="AM121" s="120"/>
      <c r="AN121" s="121"/>
      <c r="AO121" s="120"/>
      <c r="AP121" s="120"/>
      <c r="AQ121" s="120"/>
      <c r="AR121" s="120"/>
      <c r="AS121" s="120"/>
      <c r="AT121" s="120"/>
      <c r="AU121" s="121"/>
      <c r="AV121" s="120"/>
      <c r="AW121" s="120"/>
      <c r="AX121" s="120"/>
      <c r="AY121" s="120"/>
      <c r="AZ121" s="120"/>
      <c r="BA121" s="120"/>
      <c r="BB121" s="121"/>
      <c r="BC121" s="120"/>
      <c r="BD121" s="120"/>
      <c r="BE121" s="120"/>
      <c r="BF121" s="120"/>
      <c r="BG121" s="120"/>
      <c r="BH121" s="120"/>
      <c r="BI121" s="120"/>
      <c r="BJ121" s="120"/>
      <c r="BK121" s="120"/>
      <c r="BL121" s="120"/>
      <c r="BM121" s="120"/>
      <c r="BN121" s="120"/>
      <c r="BO121" s="120"/>
      <c r="BP121" s="120"/>
      <c r="BQ121" s="120"/>
      <c r="BR121" s="120"/>
      <c r="BS121" s="120"/>
      <c r="BT121" s="120"/>
      <c r="BU121" s="120"/>
      <c r="BV121" s="120"/>
      <c r="BW121" s="120"/>
      <c r="BX121" s="120"/>
      <c r="BY121" s="120"/>
      <c r="BZ121" s="120"/>
      <c r="CA121" s="120"/>
      <c r="CB121" s="120"/>
      <c r="CC121" s="120"/>
      <c r="CD121" s="120"/>
      <c r="CE121" s="120"/>
      <c r="CF121" s="120"/>
      <c r="CG121" s="120"/>
      <c r="CH121" s="120"/>
      <c r="CI121" s="120"/>
      <c r="CJ121" s="120"/>
      <c r="CK121" s="120"/>
      <c r="CL121" s="120"/>
      <c r="CM121" s="120"/>
    </row>
    <row r="122" spans="1:91" x14ac:dyDescent="0.2">
      <c r="A122" s="120"/>
      <c r="B122" s="120"/>
      <c r="C122" s="120"/>
      <c r="D122" s="120"/>
      <c r="E122" s="120"/>
      <c r="F122" s="120"/>
      <c r="G122" s="120"/>
      <c r="H122" s="120"/>
      <c r="I122" s="120"/>
      <c r="J122" s="120"/>
      <c r="K122" s="120"/>
      <c r="L122" s="120"/>
      <c r="M122" s="120"/>
      <c r="N122" s="120"/>
      <c r="O122" s="120"/>
      <c r="P122" s="120"/>
      <c r="Q122" s="120"/>
      <c r="R122" s="120"/>
      <c r="S122" s="120"/>
      <c r="T122" s="120"/>
      <c r="U122" s="120"/>
      <c r="V122" s="120"/>
      <c r="W122" s="120"/>
      <c r="X122" s="120"/>
      <c r="Y122" s="120"/>
      <c r="Z122" s="120"/>
      <c r="AA122" s="120"/>
      <c r="AB122" s="120"/>
      <c r="AC122" s="120"/>
      <c r="AD122" s="120"/>
      <c r="AE122" s="120"/>
      <c r="AF122" s="120"/>
      <c r="AG122" s="120"/>
      <c r="AH122" s="120"/>
      <c r="AI122" s="120"/>
      <c r="AJ122" s="120"/>
      <c r="AK122" s="120"/>
      <c r="AL122" s="120"/>
      <c r="AM122" s="120"/>
      <c r="AN122" s="121"/>
      <c r="AO122" s="120"/>
      <c r="AP122" s="120"/>
      <c r="AQ122" s="120"/>
      <c r="AR122" s="120"/>
      <c r="AS122" s="120"/>
      <c r="AT122" s="120"/>
      <c r="AU122" s="121"/>
      <c r="AV122" s="120"/>
      <c r="AW122" s="120"/>
      <c r="AX122" s="120"/>
      <c r="AY122" s="120"/>
      <c r="AZ122" s="120"/>
      <c r="BA122" s="120"/>
      <c r="BB122" s="121"/>
      <c r="BC122" s="120"/>
      <c r="BD122" s="120"/>
      <c r="BE122" s="120"/>
      <c r="BF122" s="120"/>
      <c r="BG122" s="120"/>
      <c r="BH122" s="120"/>
      <c r="BI122" s="120"/>
      <c r="BJ122" s="120"/>
      <c r="BK122" s="120"/>
      <c r="BL122" s="120"/>
      <c r="BM122" s="120"/>
      <c r="BN122" s="120"/>
      <c r="BO122" s="120"/>
      <c r="BP122" s="120"/>
      <c r="BQ122" s="120"/>
      <c r="BR122" s="120"/>
      <c r="BS122" s="120"/>
      <c r="BT122" s="120"/>
      <c r="BU122" s="120"/>
      <c r="BV122" s="120"/>
      <c r="BW122" s="120"/>
      <c r="BX122" s="120"/>
      <c r="BY122" s="120"/>
      <c r="BZ122" s="120"/>
      <c r="CA122" s="120"/>
      <c r="CB122" s="120"/>
      <c r="CC122" s="120"/>
      <c r="CD122" s="120"/>
      <c r="CE122" s="120"/>
      <c r="CF122" s="120"/>
      <c r="CG122" s="120"/>
      <c r="CH122" s="120"/>
      <c r="CI122" s="120"/>
      <c r="CJ122" s="120"/>
      <c r="CK122" s="120"/>
      <c r="CL122" s="120"/>
      <c r="CM122" s="120"/>
    </row>
    <row r="123" spans="1:91" x14ac:dyDescent="0.2">
      <c r="A123" s="120"/>
      <c r="B123" s="120"/>
      <c r="C123" s="120"/>
      <c r="D123" s="120"/>
      <c r="E123" s="120"/>
      <c r="F123" s="120"/>
      <c r="G123" s="120"/>
      <c r="H123" s="120"/>
      <c r="I123" s="120"/>
      <c r="J123" s="120"/>
      <c r="K123" s="120"/>
      <c r="L123" s="120"/>
      <c r="M123" s="120"/>
      <c r="N123" s="120"/>
      <c r="O123" s="120"/>
      <c r="P123" s="120"/>
      <c r="Q123" s="120"/>
      <c r="R123" s="120"/>
      <c r="S123" s="120"/>
      <c r="T123" s="120"/>
      <c r="U123" s="120"/>
      <c r="V123" s="120"/>
      <c r="W123" s="120"/>
      <c r="X123" s="120"/>
      <c r="Y123" s="120"/>
      <c r="Z123" s="120"/>
      <c r="AA123" s="120"/>
      <c r="AB123" s="120"/>
      <c r="AC123" s="120"/>
      <c r="AD123" s="120"/>
      <c r="AE123" s="120"/>
      <c r="AF123" s="120"/>
      <c r="AG123" s="120"/>
      <c r="AH123" s="120"/>
      <c r="AI123" s="120"/>
      <c r="AJ123" s="120"/>
      <c r="AK123" s="120"/>
      <c r="AL123" s="120"/>
      <c r="AM123" s="120"/>
      <c r="AN123" s="121"/>
      <c r="AO123" s="120"/>
      <c r="AP123" s="120"/>
      <c r="AQ123" s="120"/>
      <c r="AR123" s="120"/>
      <c r="AS123" s="120"/>
      <c r="AT123" s="120"/>
      <c r="AU123" s="121"/>
      <c r="AV123" s="120"/>
      <c r="AW123" s="120"/>
      <c r="AX123" s="120"/>
      <c r="AY123" s="120"/>
      <c r="AZ123" s="120"/>
      <c r="BA123" s="120"/>
      <c r="BB123" s="121"/>
      <c r="BC123" s="120"/>
      <c r="BD123" s="120"/>
      <c r="BE123" s="120"/>
      <c r="BF123" s="120"/>
      <c r="BG123" s="120"/>
      <c r="BH123" s="120"/>
      <c r="BI123" s="120"/>
      <c r="BJ123" s="120"/>
      <c r="BK123" s="120"/>
      <c r="BL123" s="120"/>
      <c r="BM123" s="120"/>
      <c r="BN123" s="120"/>
      <c r="BO123" s="120"/>
      <c r="BP123" s="120"/>
      <c r="BQ123" s="120"/>
      <c r="BR123" s="120"/>
      <c r="BS123" s="120"/>
      <c r="BT123" s="120"/>
      <c r="BU123" s="120"/>
      <c r="BV123" s="120"/>
      <c r="BW123" s="120"/>
      <c r="BX123" s="120"/>
      <c r="BY123" s="120"/>
      <c r="BZ123" s="120"/>
      <c r="CA123" s="120"/>
      <c r="CB123" s="120"/>
      <c r="CC123" s="120"/>
      <c r="CD123" s="120"/>
      <c r="CE123" s="120"/>
      <c r="CF123" s="120"/>
      <c r="CG123" s="120"/>
      <c r="CH123" s="120"/>
      <c r="CI123" s="120"/>
      <c r="CJ123" s="120"/>
      <c r="CK123" s="120"/>
      <c r="CL123" s="120"/>
      <c r="CM123" s="120"/>
    </row>
    <row r="124" spans="1:91" x14ac:dyDescent="0.2">
      <c r="A124" s="120"/>
      <c r="B124" s="120"/>
      <c r="C124" s="120"/>
      <c r="D124" s="120"/>
      <c r="E124" s="120"/>
      <c r="F124" s="120"/>
      <c r="G124" s="120"/>
      <c r="H124" s="120"/>
      <c r="I124" s="120"/>
      <c r="J124" s="120"/>
      <c r="K124" s="120"/>
      <c r="L124" s="120"/>
      <c r="M124" s="120"/>
      <c r="N124" s="120"/>
      <c r="O124" s="120"/>
      <c r="P124" s="120"/>
      <c r="Q124" s="120"/>
      <c r="R124" s="120"/>
      <c r="S124" s="120"/>
      <c r="T124" s="120"/>
      <c r="U124" s="120"/>
      <c r="V124" s="120"/>
      <c r="W124" s="120"/>
      <c r="X124" s="120"/>
      <c r="Y124" s="120"/>
      <c r="Z124" s="120"/>
      <c r="AA124" s="120"/>
      <c r="AB124" s="120"/>
      <c r="AC124" s="120"/>
      <c r="AD124" s="120"/>
      <c r="AE124" s="120"/>
      <c r="AF124" s="120"/>
      <c r="AG124" s="120"/>
      <c r="AH124" s="120"/>
      <c r="AI124" s="120"/>
      <c r="AJ124" s="120"/>
      <c r="AK124" s="120"/>
      <c r="AL124" s="120"/>
      <c r="AM124" s="120"/>
      <c r="AN124" s="121"/>
      <c r="AO124" s="120"/>
      <c r="AP124" s="120"/>
      <c r="AQ124" s="120"/>
      <c r="AR124" s="120"/>
      <c r="AS124" s="120"/>
      <c r="AT124" s="120"/>
      <c r="AU124" s="121"/>
      <c r="AV124" s="120"/>
      <c r="AW124" s="120"/>
      <c r="AX124" s="120"/>
      <c r="AY124" s="120"/>
      <c r="AZ124" s="120"/>
      <c r="BA124" s="120"/>
      <c r="BB124" s="121"/>
      <c r="BC124" s="120"/>
      <c r="BD124" s="120"/>
      <c r="BE124" s="120"/>
      <c r="BF124" s="120"/>
      <c r="BG124" s="120"/>
      <c r="BH124" s="120"/>
      <c r="BI124" s="120"/>
      <c r="BJ124" s="120"/>
      <c r="BK124" s="120"/>
      <c r="BL124" s="120"/>
      <c r="BM124" s="120"/>
      <c r="BN124" s="120"/>
      <c r="BO124" s="120"/>
      <c r="BP124" s="120"/>
      <c r="BQ124" s="120"/>
      <c r="BR124" s="120"/>
      <c r="BS124" s="120"/>
      <c r="BT124" s="120"/>
      <c r="BU124" s="120"/>
      <c r="BV124" s="120"/>
      <c r="BW124" s="120"/>
      <c r="BX124" s="120"/>
      <c r="BY124" s="120"/>
      <c r="BZ124" s="120"/>
      <c r="CA124" s="120"/>
      <c r="CB124" s="120"/>
      <c r="CC124" s="120"/>
      <c r="CD124" s="120"/>
      <c r="CE124" s="120"/>
      <c r="CF124" s="120"/>
      <c r="CG124" s="120"/>
      <c r="CH124" s="120"/>
      <c r="CI124" s="120"/>
      <c r="CJ124" s="120"/>
      <c r="CK124" s="120"/>
      <c r="CL124" s="120"/>
      <c r="CM124" s="120"/>
    </row>
  </sheetData>
  <sheetProtection sheet="1" formatCells="0" formatColumns="0" formatRows="0"/>
  <dataConsolidate/>
  <mergeCells count="413">
    <mergeCell ref="BQ32:BS32"/>
    <mergeCell ref="CE35:CG35"/>
    <mergeCell ref="CE29:CG29"/>
    <mergeCell ref="CE30:CG30"/>
    <mergeCell ref="CE31:CG31"/>
    <mergeCell ref="CE32:CG32"/>
    <mergeCell ref="CE33:CG33"/>
    <mergeCell ref="CE34:CG34"/>
    <mergeCell ref="BQ34:BS34"/>
    <mergeCell ref="CE19:CG19"/>
    <mergeCell ref="CE20:CG20"/>
    <mergeCell ref="CE21:CG21"/>
    <mergeCell ref="CE22:CG22"/>
    <mergeCell ref="BX34:BZ34"/>
    <mergeCell ref="BX28:BZ28"/>
    <mergeCell ref="BX29:BZ29"/>
    <mergeCell ref="BX30:BZ30"/>
    <mergeCell ref="BX31:BZ31"/>
    <mergeCell ref="CE11:CG11"/>
    <mergeCell ref="CE12:CG12"/>
    <mergeCell ref="CE13:CG13"/>
    <mergeCell ref="CE14:CG14"/>
    <mergeCell ref="CE15:CG15"/>
    <mergeCell ref="CE16:CG16"/>
    <mergeCell ref="BQ15:BS15"/>
    <mergeCell ref="BX32:BZ32"/>
    <mergeCell ref="BX33:BZ33"/>
    <mergeCell ref="BQ23:BS23"/>
    <mergeCell ref="BQ24:BS24"/>
    <mergeCell ref="BQ25:BS25"/>
    <mergeCell ref="BQ26:BS26"/>
    <mergeCell ref="BQ21:BS21"/>
    <mergeCell ref="BQ22:BS22"/>
    <mergeCell ref="CE23:CG23"/>
    <mergeCell ref="CE24:CG24"/>
    <mergeCell ref="CE25:CG25"/>
    <mergeCell ref="CE26:CG26"/>
    <mergeCell ref="CE27:CG27"/>
    <mergeCell ref="CE28:CG28"/>
    <mergeCell ref="BQ33:BS33"/>
    <mergeCell ref="CE17:CG17"/>
    <mergeCell ref="CE18:CG18"/>
    <mergeCell ref="CE3:CG4"/>
    <mergeCell ref="CE5:CG5"/>
    <mergeCell ref="CE6:CG6"/>
    <mergeCell ref="CE7:CG7"/>
    <mergeCell ref="CE8:CG8"/>
    <mergeCell ref="CE9:CG9"/>
    <mergeCell ref="CE10:CG10"/>
    <mergeCell ref="BX26:BZ26"/>
    <mergeCell ref="BX27:BZ27"/>
    <mergeCell ref="BX20:BZ20"/>
    <mergeCell ref="BX21:BZ21"/>
    <mergeCell ref="BX22:BZ22"/>
    <mergeCell ref="BX23:BZ23"/>
    <mergeCell ref="BX24:BZ24"/>
    <mergeCell ref="BX25:BZ25"/>
    <mergeCell ref="BX14:BZ14"/>
    <mergeCell ref="BX15:BZ15"/>
    <mergeCell ref="BX16:BZ16"/>
    <mergeCell ref="BX17:BZ17"/>
    <mergeCell ref="BX18:BZ18"/>
    <mergeCell ref="BX19:BZ19"/>
    <mergeCell ref="BX5:BZ5"/>
    <mergeCell ref="BX6:BZ6"/>
    <mergeCell ref="BX7:BZ7"/>
    <mergeCell ref="BX8:BZ8"/>
    <mergeCell ref="BX9:BZ9"/>
    <mergeCell ref="BX10:BZ10"/>
    <mergeCell ref="BX11:BZ11"/>
    <mergeCell ref="BX12:BZ12"/>
    <mergeCell ref="BX13:BZ13"/>
    <mergeCell ref="BQ29:BS29"/>
    <mergeCell ref="BQ30:BS30"/>
    <mergeCell ref="BQ31:BS31"/>
    <mergeCell ref="BQ11:BS11"/>
    <mergeCell ref="BQ12:BS12"/>
    <mergeCell ref="BQ13:BS13"/>
    <mergeCell ref="BQ14:BS14"/>
    <mergeCell ref="BQ16:BS16"/>
    <mergeCell ref="BQ18:BS18"/>
    <mergeCell ref="BQ19:BS19"/>
    <mergeCell ref="BQ20:BS20"/>
    <mergeCell ref="BQ5:BS5"/>
    <mergeCell ref="BQ6:BS6"/>
    <mergeCell ref="BQ7:BS7"/>
    <mergeCell ref="BQ8:BS8"/>
    <mergeCell ref="BQ9:BS9"/>
    <mergeCell ref="BQ10:BS10"/>
    <mergeCell ref="BJ29:BL29"/>
    <mergeCell ref="BJ30:BL30"/>
    <mergeCell ref="BJ31:BL31"/>
    <mergeCell ref="BJ17:BL17"/>
    <mergeCell ref="BJ18:BL18"/>
    <mergeCell ref="BJ19:BL19"/>
    <mergeCell ref="BJ20:BL20"/>
    <mergeCell ref="BJ21:BL21"/>
    <mergeCell ref="BJ22:BL22"/>
    <mergeCell ref="BJ11:BL11"/>
    <mergeCell ref="BJ12:BL12"/>
    <mergeCell ref="BJ13:BL13"/>
    <mergeCell ref="BJ14:BL14"/>
    <mergeCell ref="BJ15:BL15"/>
    <mergeCell ref="BJ16:BL16"/>
    <mergeCell ref="BQ27:BS27"/>
    <mergeCell ref="BQ28:BS28"/>
    <mergeCell ref="BQ17:BS17"/>
    <mergeCell ref="BJ32:BL32"/>
    <mergeCell ref="BJ33:BL33"/>
    <mergeCell ref="BJ34:BL34"/>
    <mergeCell ref="BJ23:BL23"/>
    <mergeCell ref="BJ24:BL24"/>
    <mergeCell ref="BJ25:BL25"/>
    <mergeCell ref="BJ26:BL26"/>
    <mergeCell ref="BJ27:BL27"/>
    <mergeCell ref="BJ28:BL28"/>
    <mergeCell ref="BC32:BE32"/>
    <mergeCell ref="BC33:BE33"/>
    <mergeCell ref="BC34:BE34"/>
    <mergeCell ref="BC35:BE35"/>
    <mergeCell ref="BJ5:BL5"/>
    <mergeCell ref="BJ6:BL6"/>
    <mergeCell ref="BJ7:BL7"/>
    <mergeCell ref="BJ8:BL8"/>
    <mergeCell ref="BJ9:BL9"/>
    <mergeCell ref="BJ10:BL10"/>
    <mergeCell ref="BC26:BE26"/>
    <mergeCell ref="BC27:BE27"/>
    <mergeCell ref="BC28:BE28"/>
    <mergeCell ref="BC29:BE29"/>
    <mergeCell ref="BC30:BE30"/>
    <mergeCell ref="BC31:BE31"/>
    <mergeCell ref="BC20:BE20"/>
    <mergeCell ref="BC21:BE21"/>
    <mergeCell ref="BC22:BE22"/>
    <mergeCell ref="BC23:BE23"/>
    <mergeCell ref="BC24:BE24"/>
    <mergeCell ref="BC25:BE25"/>
    <mergeCell ref="BC14:BE14"/>
    <mergeCell ref="BC15:BE15"/>
    <mergeCell ref="BC16:BE16"/>
    <mergeCell ref="BC17:BE17"/>
    <mergeCell ref="BC18:BE18"/>
    <mergeCell ref="BC19:BE19"/>
    <mergeCell ref="AV32:AX32"/>
    <mergeCell ref="BC5:BE5"/>
    <mergeCell ref="BC6:BE6"/>
    <mergeCell ref="BC7:BE7"/>
    <mergeCell ref="BC8:BE8"/>
    <mergeCell ref="BC9:BE9"/>
    <mergeCell ref="BC10:BE10"/>
    <mergeCell ref="BC11:BE11"/>
    <mergeCell ref="BC12:BE12"/>
    <mergeCell ref="BC13:BE13"/>
    <mergeCell ref="AV26:AX26"/>
    <mergeCell ref="AV27:AX27"/>
    <mergeCell ref="AV28:AX28"/>
    <mergeCell ref="AV29:AX29"/>
    <mergeCell ref="AV30:AX30"/>
    <mergeCell ref="AV31:AX31"/>
    <mergeCell ref="AV20:AX20"/>
    <mergeCell ref="AV21:AX21"/>
    <mergeCell ref="AV22:AX22"/>
    <mergeCell ref="AV23:AX23"/>
    <mergeCell ref="AV24:AX24"/>
    <mergeCell ref="AV25:AX25"/>
    <mergeCell ref="AV14:AX14"/>
    <mergeCell ref="AV15:AX15"/>
    <mergeCell ref="AV16:AX16"/>
    <mergeCell ref="AV17:AX17"/>
    <mergeCell ref="AV18:AX18"/>
    <mergeCell ref="AV19:AX19"/>
    <mergeCell ref="AO35:AQ35"/>
    <mergeCell ref="AO29:AQ29"/>
    <mergeCell ref="AO30:AQ30"/>
    <mergeCell ref="AO31:AQ31"/>
    <mergeCell ref="AO32:AQ32"/>
    <mergeCell ref="AO33:AQ33"/>
    <mergeCell ref="AO34:AQ34"/>
    <mergeCell ref="AO23:AQ23"/>
    <mergeCell ref="AO24:AQ24"/>
    <mergeCell ref="AO25:AQ25"/>
    <mergeCell ref="AO26:AQ26"/>
    <mergeCell ref="AO27:AQ27"/>
    <mergeCell ref="AO28:AQ28"/>
    <mergeCell ref="AO17:AQ17"/>
    <mergeCell ref="AO18:AQ18"/>
    <mergeCell ref="AO19:AQ19"/>
    <mergeCell ref="AH23:AJ23"/>
    <mergeCell ref="AO11:AQ11"/>
    <mergeCell ref="AO12:AQ12"/>
    <mergeCell ref="AO13:AQ13"/>
    <mergeCell ref="AO14:AQ14"/>
    <mergeCell ref="AO15:AQ15"/>
    <mergeCell ref="AO16:AQ16"/>
    <mergeCell ref="AV5:AX5"/>
    <mergeCell ref="AV6:AX6"/>
    <mergeCell ref="AV7:AX7"/>
    <mergeCell ref="AV8:AX8"/>
    <mergeCell ref="AV9:AX9"/>
    <mergeCell ref="AV10:AX10"/>
    <mergeCell ref="AV11:AX11"/>
    <mergeCell ref="AV12:AX12"/>
    <mergeCell ref="AV13:AX13"/>
    <mergeCell ref="AO5:AQ5"/>
    <mergeCell ref="AO6:AQ6"/>
    <mergeCell ref="AO7:AQ7"/>
    <mergeCell ref="AO8:AQ8"/>
    <mergeCell ref="AO9:AQ9"/>
    <mergeCell ref="AO10:AQ10"/>
    <mergeCell ref="AH12:AJ12"/>
    <mergeCell ref="AH13:AJ13"/>
    <mergeCell ref="AH14:AJ14"/>
    <mergeCell ref="AH15:AJ15"/>
    <mergeCell ref="AH16:AJ16"/>
    <mergeCell ref="AH17:AJ17"/>
    <mergeCell ref="AO20:AQ20"/>
    <mergeCell ref="AO21:AQ21"/>
    <mergeCell ref="AO22:AQ22"/>
    <mergeCell ref="AH18:AJ18"/>
    <mergeCell ref="AH19:AJ19"/>
    <mergeCell ref="AH20:AJ20"/>
    <mergeCell ref="AH21:AJ21"/>
    <mergeCell ref="AH22:AJ22"/>
    <mergeCell ref="AH33:AJ33"/>
    <mergeCell ref="AH34:AJ34"/>
    <mergeCell ref="AH35:AJ35"/>
    <mergeCell ref="AH24:AJ24"/>
    <mergeCell ref="AH25:AJ25"/>
    <mergeCell ref="AH26:AJ26"/>
    <mergeCell ref="AH27:AJ27"/>
    <mergeCell ref="AH28:AJ28"/>
    <mergeCell ref="AH29:AJ29"/>
    <mergeCell ref="AH30:AJ30"/>
    <mergeCell ref="AH31:AJ31"/>
    <mergeCell ref="AH32:AJ32"/>
    <mergeCell ref="AH3:AJ4"/>
    <mergeCell ref="AH5:AJ5"/>
    <mergeCell ref="AH6:AJ6"/>
    <mergeCell ref="AH7:AJ7"/>
    <mergeCell ref="AH8:AJ8"/>
    <mergeCell ref="AH9:AJ9"/>
    <mergeCell ref="AH10:AJ10"/>
    <mergeCell ref="AH11:AJ11"/>
    <mergeCell ref="AA27:AC27"/>
    <mergeCell ref="AA21:AC21"/>
    <mergeCell ref="AA22:AC22"/>
    <mergeCell ref="AA23:AC23"/>
    <mergeCell ref="AA24:AC24"/>
    <mergeCell ref="AA25:AC25"/>
    <mergeCell ref="AA26:AC26"/>
    <mergeCell ref="AA15:AC15"/>
    <mergeCell ref="AA16:AC16"/>
    <mergeCell ref="AA20:AC20"/>
    <mergeCell ref="AA9:AC9"/>
    <mergeCell ref="AA10:AC10"/>
    <mergeCell ref="AA11:AC11"/>
    <mergeCell ref="AA12:AC12"/>
    <mergeCell ref="AA13:AC13"/>
    <mergeCell ref="AA14:AC14"/>
    <mergeCell ref="AA33:AC33"/>
    <mergeCell ref="AA34:AC34"/>
    <mergeCell ref="AA28:AC28"/>
    <mergeCell ref="AA29:AC29"/>
    <mergeCell ref="AA30:AC30"/>
    <mergeCell ref="AA31:AC31"/>
    <mergeCell ref="AA32:AC32"/>
    <mergeCell ref="T35:V35"/>
    <mergeCell ref="AA3:AC4"/>
    <mergeCell ref="AA5:AC5"/>
    <mergeCell ref="AA6:AC6"/>
    <mergeCell ref="AA7:AC7"/>
    <mergeCell ref="AA8:AC8"/>
    <mergeCell ref="T26:V26"/>
    <mergeCell ref="T27:V27"/>
    <mergeCell ref="T28:V28"/>
    <mergeCell ref="T29:V29"/>
    <mergeCell ref="T30:V30"/>
    <mergeCell ref="T31:V31"/>
    <mergeCell ref="T20:V20"/>
    <mergeCell ref="T21:V21"/>
    <mergeCell ref="T22:V22"/>
    <mergeCell ref="T23:V23"/>
    <mergeCell ref="T24:V24"/>
    <mergeCell ref="AA17:AC17"/>
    <mergeCell ref="AA18:AC18"/>
    <mergeCell ref="AA19:AC19"/>
    <mergeCell ref="T8:V8"/>
    <mergeCell ref="T9:V9"/>
    <mergeCell ref="T10:V10"/>
    <mergeCell ref="T11:V11"/>
    <mergeCell ref="T12:V12"/>
    <mergeCell ref="T13:V13"/>
    <mergeCell ref="T19:V19"/>
    <mergeCell ref="T14:V14"/>
    <mergeCell ref="T15:V15"/>
    <mergeCell ref="T16:V16"/>
    <mergeCell ref="T17:V17"/>
    <mergeCell ref="T18:V18"/>
    <mergeCell ref="T34:V34"/>
    <mergeCell ref="M29:O29"/>
    <mergeCell ref="M30:O30"/>
    <mergeCell ref="M31:O31"/>
    <mergeCell ref="M20:O20"/>
    <mergeCell ref="M21:O21"/>
    <mergeCell ref="M22:O22"/>
    <mergeCell ref="M23:O23"/>
    <mergeCell ref="M24:O24"/>
    <mergeCell ref="M25:O25"/>
    <mergeCell ref="M26:O26"/>
    <mergeCell ref="M27:O27"/>
    <mergeCell ref="M28:O28"/>
    <mergeCell ref="T25:V25"/>
    <mergeCell ref="M32:O32"/>
    <mergeCell ref="M33:O33"/>
    <mergeCell ref="M34:O34"/>
    <mergeCell ref="F3:H4"/>
    <mergeCell ref="F5:H5"/>
    <mergeCell ref="F6:H6"/>
    <mergeCell ref="F15:H15"/>
    <mergeCell ref="F20:H20"/>
    <mergeCell ref="F21:H21"/>
    <mergeCell ref="F22:H22"/>
    <mergeCell ref="T32:V32"/>
    <mergeCell ref="T33:V33"/>
    <mergeCell ref="T3:V4"/>
    <mergeCell ref="T5:V5"/>
    <mergeCell ref="T6:V6"/>
    <mergeCell ref="T7:V7"/>
    <mergeCell ref="M11:O11"/>
    <mergeCell ref="M12:O12"/>
    <mergeCell ref="M13:O13"/>
    <mergeCell ref="M5:O5"/>
    <mergeCell ref="M6:O6"/>
    <mergeCell ref="M7:O7"/>
    <mergeCell ref="M8:O8"/>
    <mergeCell ref="M9:O9"/>
    <mergeCell ref="M10:O10"/>
    <mergeCell ref="M3:O4"/>
    <mergeCell ref="A6:A12"/>
    <mergeCell ref="P38:R38"/>
    <mergeCell ref="M14:O14"/>
    <mergeCell ref="M15:O15"/>
    <mergeCell ref="A26:A27"/>
    <mergeCell ref="F7:H7"/>
    <mergeCell ref="F8:H8"/>
    <mergeCell ref="F9:H9"/>
    <mergeCell ref="F10:H10"/>
    <mergeCell ref="F11:H11"/>
    <mergeCell ref="A28:A29"/>
    <mergeCell ref="F26:H26"/>
    <mergeCell ref="F27:H27"/>
    <mergeCell ref="F28:H28"/>
    <mergeCell ref="F29:H29"/>
    <mergeCell ref="A14:A18"/>
    <mergeCell ref="F12:H12"/>
    <mergeCell ref="F13:H13"/>
    <mergeCell ref="A19:A25"/>
    <mergeCell ref="F23:H23"/>
    <mergeCell ref="F14:H14"/>
    <mergeCell ref="F24:H24"/>
    <mergeCell ref="F25:H25"/>
    <mergeCell ref="P39:R39"/>
    <mergeCell ref="P40:R40"/>
    <mergeCell ref="F16:H16"/>
    <mergeCell ref="F17:H17"/>
    <mergeCell ref="F18:H18"/>
    <mergeCell ref="F19:H19"/>
    <mergeCell ref="B38:D38"/>
    <mergeCell ref="B39:D39"/>
    <mergeCell ref="B40:D40"/>
    <mergeCell ref="I38:K38"/>
    <mergeCell ref="I39:K39"/>
    <mergeCell ref="I40:K40"/>
    <mergeCell ref="M16:O16"/>
    <mergeCell ref="F30:H30"/>
    <mergeCell ref="F31:H31"/>
    <mergeCell ref="F32:H32"/>
    <mergeCell ref="F33:H33"/>
    <mergeCell ref="F34:H34"/>
    <mergeCell ref="F35:H35"/>
    <mergeCell ref="M17:O17"/>
    <mergeCell ref="M18:O18"/>
    <mergeCell ref="M19:O19"/>
    <mergeCell ref="W38:Y38"/>
    <mergeCell ref="W39:Y39"/>
    <mergeCell ref="W40:Y40"/>
    <mergeCell ref="AD38:AF38"/>
    <mergeCell ref="AD39:AF39"/>
    <mergeCell ref="AD40:AF40"/>
    <mergeCell ref="AK38:AM38"/>
    <mergeCell ref="AK39:AM39"/>
    <mergeCell ref="AK40:AM40"/>
    <mergeCell ref="AV33:AX33"/>
    <mergeCell ref="AR38:AT38"/>
    <mergeCell ref="AR39:AT39"/>
    <mergeCell ref="AR40:AT40"/>
    <mergeCell ref="AY38:BA38"/>
    <mergeCell ref="AY39:BA39"/>
    <mergeCell ref="AY40:BA40"/>
    <mergeCell ref="CA38:CC38"/>
    <mergeCell ref="CA39:CC39"/>
    <mergeCell ref="CA40:CC40"/>
    <mergeCell ref="BF38:BH38"/>
    <mergeCell ref="BF39:BH39"/>
    <mergeCell ref="BF40:BH40"/>
    <mergeCell ref="BM38:BO38"/>
    <mergeCell ref="BM39:BO39"/>
    <mergeCell ref="BM40:BO40"/>
    <mergeCell ref="BT38:BV38"/>
    <mergeCell ref="BT39:BV39"/>
    <mergeCell ref="BT40:BV40"/>
    <mergeCell ref="BQ35:BS35"/>
  </mergeCells>
  <phoneticPr fontId="4" type="noConversion"/>
  <conditionalFormatting sqref="B5:H35">
    <cfRule type="expression" dxfId="238" priority="78" stopIfTrue="1">
      <formula>OR($D5="Skema 1")</formula>
    </cfRule>
    <cfRule type="expression" dxfId="237" priority="314">
      <formula>OR($D5="nul-dag")</formula>
    </cfRule>
    <cfRule type="expression" dxfId="236" priority="313">
      <formula>OR($D5="pæd.dag")</formula>
    </cfRule>
    <cfRule type="expression" dxfId="235" priority="318">
      <formula>OR($D5="emnedag")</formula>
    </cfRule>
    <cfRule type="expression" dxfId="234" priority="317">
      <formula>OR($D5="lejrskole")</formula>
    </cfRule>
    <cfRule type="expression" dxfId="233" priority="316">
      <formula>OR($D5="ekskursion")</formula>
    </cfRule>
    <cfRule type="expression" dxfId="232" priority="80" stopIfTrue="1">
      <formula>OR($D5="Skema 3")</formula>
    </cfRule>
    <cfRule type="expression" dxfId="231" priority="79" stopIfTrue="1">
      <formula>OR($D5="Skema 2")</formula>
    </cfRule>
    <cfRule type="expression" dxfId="230" priority="315">
      <formula>OR($D5="SH-dag")</formula>
    </cfRule>
    <cfRule type="expression" dxfId="229" priority="322" stopIfTrue="1">
      <formula>OR($D5="Skema 4")</formula>
    </cfRule>
    <cfRule type="expression" dxfId="228" priority="92">
      <formula>OR($D5="Ikke relevant")</formula>
    </cfRule>
    <cfRule type="expression" dxfId="227" priority="321">
      <formula>OR($D5="weekend")</formula>
    </cfRule>
    <cfRule type="expression" dxfId="226" priority="320">
      <formula>OR($D5="feriedag")</formula>
    </cfRule>
    <cfRule type="expression" dxfId="225" priority="319">
      <formula>OR($D5="fagdag")</formula>
    </cfRule>
  </conditionalFormatting>
  <conditionalFormatting sqref="F16">
    <cfRule type="expression" dxfId="224" priority="594">
      <formula>OR($D15="Ikke relevant")</formula>
    </cfRule>
    <cfRule type="expression" dxfId="223" priority="585">
      <formula>OR($D15="SH-dag")</formula>
    </cfRule>
    <cfRule type="expression" dxfId="222" priority="584">
      <formula>OR($D15="nul-dag")</formula>
    </cfRule>
    <cfRule type="expression" dxfId="221" priority="583">
      <formula>OR($D15="pæd.dag")</formula>
    </cfRule>
    <cfRule type="expression" dxfId="220" priority="592" stopIfTrue="1">
      <formula>OR($D15="skoledag")</formula>
    </cfRule>
    <cfRule type="expression" dxfId="219" priority="591">
      <formula>OR($D15="weekend")</formula>
    </cfRule>
    <cfRule type="expression" dxfId="218" priority="589">
      <formula>OR($D15="fagdag")</formula>
    </cfRule>
    <cfRule type="expression" dxfId="217" priority="588">
      <formula>OR($D15="emnedag")</formula>
    </cfRule>
    <cfRule type="expression" dxfId="216" priority="587">
      <formula>OR($D15="lejrskole")</formula>
    </cfRule>
    <cfRule type="expression" dxfId="215" priority="586">
      <formula>OR($D15="ekskursion")</formula>
    </cfRule>
    <cfRule type="expression" dxfId="214" priority="590">
      <formula>OR($D15="feriedag")</formula>
    </cfRule>
  </conditionalFormatting>
  <conditionalFormatting sqref="I5:M34">
    <cfRule type="expression" dxfId="213" priority="242" stopIfTrue="1">
      <formula>OR($K5="Skema 1")</formula>
    </cfRule>
    <cfRule type="expression" dxfId="212" priority="241">
      <formula>OR($K5="weekend")</formula>
    </cfRule>
    <cfRule type="expression" dxfId="211" priority="240">
      <formula>OR($K5="feriedag")</formula>
    </cfRule>
    <cfRule type="expression" dxfId="210" priority="239">
      <formula>OR($K5="fagdag")</formula>
    </cfRule>
    <cfRule type="expression" dxfId="209" priority="76">
      <formula>OR($K5="Skema 3")</formula>
    </cfRule>
    <cfRule type="expression" dxfId="208" priority="75">
      <formula>OR($K5="Skema 2")</formula>
    </cfRule>
    <cfRule type="expression" dxfId="207" priority="238">
      <formula>OR($K5="emnedag")</formula>
    </cfRule>
    <cfRule type="expression" dxfId="206" priority="91">
      <formula>OR($K5="Ikke relevant")</formula>
    </cfRule>
    <cfRule type="expression" dxfId="205" priority="233">
      <formula>OR($K5="pæd.dag")</formula>
    </cfRule>
    <cfRule type="expression" dxfId="204" priority="235">
      <formula>OR($K5="SH-dag")</formula>
    </cfRule>
    <cfRule type="expression" dxfId="203" priority="236">
      <formula>OR($K5="ekskursion")</formula>
    </cfRule>
    <cfRule type="expression" dxfId="202" priority="237">
      <formula>OR($K5="lejrskole")</formula>
    </cfRule>
    <cfRule type="expression" dxfId="201" priority="234">
      <formula>OR($K5="nul-dag")</formula>
    </cfRule>
    <cfRule type="expression" dxfId="200" priority="77">
      <formula>OR($K5="Skema 4")</formula>
    </cfRule>
  </conditionalFormatting>
  <conditionalFormatting sqref="P5:T35">
    <cfRule type="expression" dxfId="199" priority="231">
      <formula>OR($R5="weekend")</formula>
    </cfRule>
    <cfRule type="expression" dxfId="198" priority="230">
      <formula>OR($R5="feriedag")</formula>
    </cfRule>
    <cfRule type="expression" dxfId="197" priority="229">
      <formula>OR($R5="fagdag")</formula>
    </cfRule>
    <cfRule type="expression" dxfId="196" priority="228">
      <formula>OR($R5="emnedag")</formula>
    </cfRule>
    <cfRule type="expression" dxfId="195" priority="227">
      <formula>OR($R5="lejrskole")</formula>
    </cfRule>
    <cfRule type="expression" dxfId="194" priority="225">
      <formula>OR($R5="SH-dag")</formula>
    </cfRule>
    <cfRule type="expression" dxfId="193" priority="224">
      <formula>OR($R5="nul-dag")</formula>
    </cfRule>
    <cfRule type="expression" dxfId="192" priority="223">
      <formula>OR($R5="pæd.dag")</formula>
    </cfRule>
    <cfRule type="expression" dxfId="191" priority="73" stopIfTrue="1">
      <formula>OR($R5="Skema 3")</formula>
    </cfRule>
    <cfRule type="expression" dxfId="190" priority="72" stopIfTrue="1">
      <formula>OR($R5="Skema 2")</formula>
    </cfRule>
    <cfRule type="expression" dxfId="189" priority="74" stopIfTrue="1">
      <formula>OR($R5="Skema 4")</formula>
    </cfRule>
    <cfRule type="expression" dxfId="188" priority="232" stopIfTrue="1">
      <formula>OR($R5="Skema 1")</formula>
    </cfRule>
    <cfRule type="expression" dxfId="187" priority="226">
      <formula>OR($R5="ekskursion")</formula>
    </cfRule>
    <cfRule type="expression" dxfId="186" priority="90">
      <formula>OR($R5="Ikke relevant")</formula>
    </cfRule>
  </conditionalFormatting>
  <conditionalFormatting sqref="W5:AA34">
    <cfRule type="expression" dxfId="185" priority="215">
      <formula>OR($Y5="SH-dag")</formula>
    </cfRule>
    <cfRule type="expression" dxfId="184" priority="214">
      <formula>OR($Y5="nul-dag")</formula>
    </cfRule>
    <cfRule type="expression" dxfId="183" priority="213">
      <formula>OR($Y5="pæd.dag")</formula>
    </cfRule>
    <cfRule type="expression" dxfId="182" priority="220">
      <formula>OR($Y5="feriedag")</formula>
    </cfRule>
    <cfRule type="expression" dxfId="181" priority="216">
      <formula>OR($Y5="ekskursion")</formula>
    </cfRule>
    <cfRule type="expression" dxfId="180" priority="69">
      <formula>OR($Y5="Skema 2")</formula>
    </cfRule>
    <cfRule type="expression" dxfId="179" priority="70">
      <formula>OR($Y5="Skema 3")</formula>
    </cfRule>
    <cfRule type="expression" dxfId="178" priority="89">
      <formula>OR($Y5="Ikke relevant")</formula>
    </cfRule>
    <cfRule type="expression" dxfId="177" priority="218">
      <formula>OR($Y5="emnedag")</formula>
    </cfRule>
    <cfRule type="expression" dxfId="176" priority="71">
      <formula>OR($Y5="Skema 4")</formula>
    </cfRule>
    <cfRule type="expression" dxfId="175" priority="219">
      <formula>OR($Y5="fagdag")</formula>
    </cfRule>
    <cfRule type="expression" dxfId="174" priority="221">
      <formula>OR($Y5="weekend")</formula>
    </cfRule>
    <cfRule type="expression" dxfId="173" priority="222" stopIfTrue="1">
      <formula>OR($Y5="skema 1")</formula>
    </cfRule>
    <cfRule type="expression" dxfId="172" priority="217">
      <formula>OR($Y5="lejrskole")</formula>
    </cfRule>
  </conditionalFormatting>
  <conditionalFormatting sqref="AD5:AH35">
    <cfRule type="expression" dxfId="171" priority="191">
      <formula>OR($AF5="weekend")</formula>
    </cfRule>
    <cfRule type="expression" dxfId="170" priority="189">
      <formula>OR($AF5="fagdag")</formula>
    </cfRule>
    <cfRule type="expression" dxfId="169" priority="188">
      <formula>OR($AF5="emnedag")</formula>
    </cfRule>
    <cfRule type="expression" dxfId="168" priority="186">
      <formula>OR($AF5="ekskursion")</formula>
    </cfRule>
    <cfRule type="expression" dxfId="167" priority="183">
      <formula>OR($AF5="pæd.dag")</formula>
    </cfRule>
    <cfRule type="expression" dxfId="166" priority="66">
      <formula>OR($AF5="Ikke relevant")</formula>
    </cfRule>
    <cfRule type="expression" dxfId="165" priority="88">
      <formula>OR($AF5="Skema 4")</formula>
    </cfRule>
    <cfRule type="expression" dxfId="164" priority="190">
      <formula>OR($AF5="feriedag")</formula>
    </cfRule>
    <cfRule type="expression" dxfId="163" priority="67">
      <formula>OR($AF5="Skema 2")</formula>
    </cfRule>
    <cfRule type="expression" dxfId="162" priority="185">
      <formula>OR($AF5="SH-dag")</formula>
    </cfRule>
    <cfRule type="expression" dxfId="161" priority="187">
      <formula>OR($AF5="lejrskole")</formula>
    </cfRule>
    <cfRule type="expression" dxfId="160" priority="68">
      <formula>OR($AF5="Skema 3")</formula>
    </cfRule>
    <cfRule type="expression" dxfId="159" priority="184">
      <formula>OR($AF5="nul-dag")</formula>
    </cfRule>
    <cfRule type="expression" dxfId="158" priority="192" stopIfTrue="1">
      <formula>OR($AF5="Skema 1")</formula>
    </cfRule>
  </conditionalFormatting>
  <conditionalFormatting sqref="AK5:AO35">
    <cfRule type="expression" dxfId="157" priority="182" stopIfTrue="1">
      <formula>OR($AM5="Skema 1")</formula>
    </cfRule>
    <cfRule type="expression" dxfId="156" priority="181">
      <formula>OR($AM5="weekend")</formula>
    </cfRule>
    <cfRule type="expression" dxfId="155" priority="176">
      <formula>OR($AM5="ekskursion")</formula>
    </cfRule>
    <cfRule type="expression" dxfId="154" priority="180">
      <formula>OR($AM5="feriedag")</formula>
    </cfRule>
    <cfRule type="expression" dxfId="153" priority="179">
      <formula>OR($AM5="fagdag")</formula>
    </cfRule>
    <cfRule type="expression" dxfId="152" priority="175">
      <formula>OR($AM5="SH-dag")</formula>
    </cfRule>
    <cfRule type="expression" dxfId="151" priority="173">
      <formula>OR($AM5="pæd.dag")</formula>
    </cfRule>
    <cfRule type="expression" dxfId="150" priority="178">
      <formula>OR($AM5="emnedag")</formula>
    </cfRule>
    <cfRule type="expression" dxfId="149" priority="177">
      <formula>OR($AM5="lejrskole")</formula>
    </cfRule>
    <cfRule type="expression" dxfId="148" priority="174">
      <formula>OR($AM5="nul-dag")</formula>
    </cfRule>
  </conditionalFormatting>
  <conditionalFormatting sqref="AK5:AQ35">
    <cfRule type="expression" dxfId="147" priority="65">
      <formula>OR($AM5="Skema 4")</formula>
    </cfRule>
    <cfRule type="expression" dxfId="146" priority="63">
      <formula>OR($AM5="Skema 2")</formula>
    </cfRule>
    <cfRule type="expression" dxfId="145" priority="64">
      <formula>OR($AM5="Skema 3")</formula>
    </cfRule>
    <cfRule type="expression" dxfId="144" priority="87">
      <formula>OR($AM5="Ikke relevant")</formula>
    </cfRule>
  </conditionalFormatting>
  <conditionalFormatting sqref="AR5:AX33">
    <cfRule type="expression" dxfId="143" priority="148">
      <formula>OR($AT5="emnedag")</formula>
    </cfRule>
    <cfRule type="expression" dxfId="142" priority="149">
      <formula>OR($AT5="fagdag")</formula>
    </cfRule>
    <cfRule type="expression" dxfId="141" priority="150">
      <formula>OR($AT5="feriedag")</formula>
    </cfRule>
    <cfRule type="expression" dxfId="140" priority="151">
      <formula>OR($AT5="weekend")</formula>
    </cfRule>
    <cfRule type="expression" dxfId="139" priority="152" stopIfTrue="1">
      <formula>OR($AT5="Skema 1")</formula>
    </cfRule>
    <cfRule type="expression" dxfId="138" priority="60">
      <formula>OR($AT5="Skema 2")</formula>
    </cfRule>
    <cfRule type="expression" dxfId="137" priority="61">
      <formula>OR($AT5="Skema 3")</formula>
    </cfRule>
    <cfRule type="expression" dxfId="136" priority="62">
      <formula>OR($AT5="Skema 4")</formula>
    </cfRule>
    <cfRule type="expression" dxfId="135" priority="86">
      <formula>OR($AT5="Ikke relevant")</formula>
    </cfRule>
    <cfRule type="expression" dxfId="134" priority="143">
      <formula>OR($AT5="pæd.dag")</formula>
    </cfRule>
    <cfRule type="expression" dxfId="133" priority="144">
      <formula>OR($AT5="nul-dag")</formula>
    </cfRule>
    <cfRule type="expression" dxfId="132" priority="145">
      <formula>OR($AT5="SH-dag")</formula>
    </cfRule>
    <cfRule type="expression" dxfId="131" priority="146">
      <formula>OR($AT5="ekskursion")</formula>
    </cfRule>
    <cfRule type="expression" dxfId="130" priority="147">
      <formula>OR($AT5="lejrskole")</formula>
    </cfRule>
  </conditionalFormatting>
  <conditionalFormatting sqref="AY5:BC35">
    <cfRule type="expression" dxfId="129" priority="166">
      <formula>OR($BA5="ekskursion")</formula>
    </cfRule>
    <cfRule type="expression" dxfId="128" priority="165">
      <formula>OR($BA5="SH-dag")</formula>
    </cfRule>
    <cfRule type="expression" dxfId="127" priority="164">
      <formula>OR($BA5="nul-dag")</formula>
    </cfRule>
    <cfRule type="expression" dxfId="126" priority="169">
      <formula>OR($BA5="fagdag")</formula>
    </cfRule>
    <cfRule type="expression" dxfId="125" priority="57">
      <formula>OR($BA5="Skema 2")</formula>
    </cfRule>
    <cfRule type="expression" dxfId="124" priority="58">
      <formula>OR($BA5="Skema 3")</formula>
    </cfRule>
    <cfRule type="expression" dxfId="123" priority="59">
      <formula>OR($BA5="Skema 4")</formula>
    </cfRule>
    <cfRule type="expression" dxfId="122" priority="163">
      <formula>OR($BA5="pæd.dag")</formula>
    </cfRule>
    <cfRule type="expression" dxfId="121" priority="85">
      <formula>OR($BA5="Ikke relevant")</formula>
    </cfRule>
    <cfRule type="expression" dxfId="120" priority="167">
      <formula>OR($BA5="lejrskole")</formula>
    </cfRule>
    <cfRule type="expression" dxfId="119" priority="168">
      <formula>OR($BA5="emnedag")</formula>
    </cfRule>
    <cfRule type="expression" dxfId="118" priority="170">
      <formula>OR($BA5="feriedag")</formula>
    </cfRule>
    <cfRule type="expression" dxfId="117" priority="171">
      <formula>OR($BA5="weekend")</formula>
    </cfRule>
    <cfRule type="expression" dxfId="116" priority="172" stopIfTrue="1">
      <formula>OR($BA5="Skema 1")</formula>
    </cfRule>
  </conditionalFormatting>
  <conditionalFormatting sqref="BF5:BJ34">
    <cfRule type="expression" dxfId="115" priority="211">
      <formula>OR($BH5="weekend")</formula>
    </cfRule>
    <cfRule type="expression" dxfId="114" priority="205">
      <formula>OR($BH5="SH-dag")</formula>
    </cfRule>
    <cfRule type="expression" dxfId="113" priority="54">
      <formula>OR($BH5="Skema 2")</formula>
    </cfRule>
    <cfRule type="expression" dxfId="112" priority="55">
      <formula>OR($BH5="Skema 3")</formula>
    </cfRule>
    <cfRule type="expression" dxfId="111" priority="56">
      <formula>OR($BH5="Skema 4")</formula>
    </cfRule>
    <cfRule type="expression" dxfId="110" priority="212" stopIfTrue="1">
      <formula>OR($BH5="Skema 1")</formula>
    </cfRule>
    <cfRule type="expression" dxfId="109" priority="84">
      <formula>OR($BH5="Ikke relevant")</formula>
    </cfRule>
    <cfRule type="expression" dxfId="108" priority="210">
      <formula>OR($BH5="feriedag")</formula>
    </cfRule>
    <cfRule type="expression" dxfId="107" priority="203">
      <formula>OR($BH5="pæd.dag")</formula>
    </cfRule>
    <cfRule type="expression" dxfId="106" priority="209">
      <formula>OR($BH5="fagdag")</formula>
    </cfRule>
    <cfRule type="expression" dxfId="105" priority="208">
      <formula>OR($BH5="emnedag")</formula>
    </cfRule>
    <cfRule type="expression" dxfId="104" priority="207">
      <formula>OR($BH5="lejrskole")</formula>
    </cfRule>
    <cfRule type="expression" dxfId="103" priority="206">
      <formula>OR($BH5="ekskursion")</formula>
    </cfRule>
    <cfRule type="expression" dxfId="102" priority="204">
      <formula>OR($BH5="nul-dag")</formula>
    </cfRule>
  </conditionalFormatting>
  <conditionalFormatting sqref="BM5:BQ35">
    <cfRule type="expression" dxfId="101" priority="155">
      <formula>OR($BO5="SH-dag")</formula>
    </cfRule>
    <cfRule type="expression" dxfId="100" priority="52">
      <formula>OR($BO5="Skema 3")</formula>
    </cfRule>
    <cfRule type="expression" dxfId="99" priority="53">
      <formula>OR($BO5="Skema 4")</formula>
    </cfRule>
    <cfRule type="expression" dxfId="98" priority="162" stopIfTrue="1">
      <formula>OR($BO5="Skema 1")</formula>
    </cfRule>
    <cfRule type="expression" dxfId="97" priority="83">
      <formula>OR($BO5="Ikke relevant")</formula>
    </cfRule>
    <cfRule type="expression" dxfId="96" priority="51">
      <formula>OR($BO5="Skema 2")</formula>
    </cfRule>
    <cfRule type="expression" dxfId="95" priority="153">
      <formula>OR($BO5="pæd.dag")</formula>
    </cfRule>
    <cfRule type="expression" dxfId="94" priority="154">
      <formula>OR($BO5="nul-dag")</formula>
    </cfRule>
    <cfRule type="expression" dxfId="93" priority="156">
      <formula>OR($BO5="ekskursion")</formula>
    </cfRule>
    <cfRule type="expression" dxfId="92" priority="157">
      <formula>OR($BO5="lejrskole")</formula>
    </cfRule>
    <cfRule type="expression" dxfId="91" priority="158">
      <formula>OR($BO5="emnedag")</formula>
    </cfRule>
    <cfRule type="expression" dxfId="90" priority="159">
      <formula>OR($BO5="fagdag")</formula>
    </cfRule>
    <cfRule type="expression" dxfId="89" priority="160">
      <formula>OR($BO5="feriedag")</formula>
    </cfRule>
    <cfRule type="expression" dxfId="88" priority="161">
      <formula>OR($BO5="weekend")</formula>
    </cfRule>
  </conditionalFormatting>
  <conditionalFormatting sqref="BT5:BZ34">
    <cfRule type="expression" dxfId="87" priority="200">
      <formula>OR($BV5="feriedag")</formula>
    </cfRule>
    <cfRule type="expression" dxfId="86" priority="193">
      <formula>OR($BV5="pæd.dag")</formula>
    </cfRule>
    <cfRule type="expression" dxfId="85" priority="194">
      <formula>OR($BV5="nul-dag")</formula>
    </cfRule>
    <cfRule type="expression" dxfId="84" priority="195">
      <formula>OR($BV5="SH-dag")</formula>
    </cfRule>
    <cfRule type="expression" dxfId="83" priority="196">
      <formula>OR($BV5="ekskursion")</formula>
    </cfRule>
    <cfRule type="expression" dxfId="82" priority="197">
      <formula>OR($BV5="lejrskole")</formula>
    </cfRule>
    <cfRule type="expression" dxfId="81" priority="201">
      <formula>OR($BV5="weekend")</formula>
    </cfRule>
    <cfRule type="expression" dxfId="80" priority="199">
      <formula>OR($BV5="fagdag")</formula>
    </cfRule>
    <cfRule type="expression" dxfId="79" priority="82">
      <formula>OR($BV5="Ikke relevant")</formula>
    </cfRule>
    <cfRule type="expression" dxfId="78" priority="50">
      <formula>OR($BV5="Skema 4")</formula>
    </cfRule>
    <cfRule type="expression" dxfId="77" priority="49">
      <formula>OR($BV5="Skema 3")</formula>
    </cfRule>
    <cfRule type="expression" dxfId="76" priority="202" stopIfTrue="1">
      <formula>OR($BV5="Skema 1")</formula>
    </cfRule>
    <cfRule type="expression" dxfId="75" priority="48">
      <formula>OR($BV5="Skema 2")</formula>
    </cfRule>
    <cfRule type="expression" dxfId="74" priority="198">
      <formula>OR($BV5="emnedag")</formula>
    </cfRule>
  </conditionalFormatting>
  <conditionalFormatting sqref="CA5:CG35">
    <cfRule type="expression" dxfId="73" priority="142" stopIfTrue="1">
      <formula>OR($CC5="Skema 1")</formula>
    </cfRule>
    <cfRule type="expression" dxfId="72" priority="141">
      <formula>OR($CC5="weekend")</formula>
    </cfRule>
    <cfRule type="expression" dxfId="71" priority="140">
      <formula>OR($CC5="feriedag")</formula>
    </cfRule>
    <cfRule type="expression" dxfId="70" priority="139">
      <formula>OR($CC5="fagdag")</formula>
    </cfRule>
    <cfRule type="expression" dxfId="69" priority="138">
      <formula>OR($CC5="emnedag")</formula>
    </cfRule>
    <cfRule type="expression" dxfId="68" priority="137">
      <formula>OR($CC5="lejrskole")</formula>
    </cfRule>
    <cfRule type="expression" dxfId="67" priority="136">
      <formula>OR($CC5="ekskursion")</formula>
    </cfRule>
    <cfRule type="expression" dxfId="66" priority="135">
      <formula>OR($CC5="SH-dag")</formula>
    </cfRule>
    <cfRule type="expression" dxfId="65" priority="134">
      <formula>OR($CC5="nul-dag")</formula>
    </cfRule>
    <cfRule type="expression" dxfId="64" priority="133">
      <formula>OR($CC5="pæd.dag")</formula>
    </cfRule>
    <cfRule type="expression" dxfId="63" priority="81">
      <formula>OR($CC5="Ikke relevant")</formula>
    </cfRule>
    <cfRule type="expression" dxfId="62" priority="47">
      <formula>OR($CC5="Skema 4")</formula>
    </cfRule>
    <cfRule type="expression" dxfId="61" priority="46">
      <formula>OR($CC5="Skema 3")</formula>
    </cfRule>
    <cfRule type="expression" dxfId="60" priority="45">
      <formula>OR($CC5="Skema 2")</formula>
    </cfRule>
  </conditionalFormatting>
  <conditionalFormatting sqref="CE12">
    <cfRule type="expression" dxfId="59" priority="100">
      <formula>OR($CC12="feriedag")</formula>
    </cfRule>
    <cfRule type="expression" dxfId="58" priority="99">
      <formula>OR($CC12="fagdag")</formula>
    </cfRule>
    <cfRule type="expression" dxfId="57" priority="98">
      <formula>OR($CC12="emnedag")</formula>
    </cfRule>
    <cfRule type="expression" dxfId="56" priority="97">
      <formula>OR($CC12="lejrskole")</formula>
    </cfRule>
    <cfRule type="expression" dxfId="55" priority="96">
      <formula>OR($CC12="ekskursion")</formula>
    </cfRule>
    <cfRule type="expression" dxfId="54" priority="95">
      <formula>OR($CC12="SH-dag")</formula>
    </cfRule>
    <cfRule type="expression" dxfId="53" priority="94">
      <formula>OR($CC12="nul-dag")</formula>
    </cfRule>
    <cfRule type="expression" dxfId="52" priority="93">
      <formula>OR($CC12="pæd.dag")</formula>
    </cfRule>
    <cfRule type="expression" dxfId="51" priority="102" stopIfTrue="1">
      <formula>OR($CC12="skoledag")</formula>
    </cfRule>
    <cfRule type="expression" dxfId="50" priority="101">
      <formula>OR($CC12="weekend")</formula>
    </cfRule>
  </conditionalFormatting>
  <conditionalFormatting sqref="CE19:CE20">
    <cfRule type="expression" dxfId="49" priority="35">
      <formula>OR($CC19="pæd.dag")</formula>
    </cfRule>
    <cfRule type="expression" dxfId="48" priority="41">
      <formula>OR($CC19="fagdag")</formula>
    </cfRule>
    <cfRule type="expression" dxfId="47" priority="43">
      <formula>OR($CC19="weekend")</formula>
    </cfRule>
    <cfRule type="expression" dxfId="46" priority="42">
      <formula>OR($CC19="feriedag")</formula>
    </cfRule>
    <cfRule type="expression" dxfId="45" priority="40">
      <formula>OR($CC19="emnedag")</formula>
    </cfRule>
    <cfRule type="expression" dxfId="44" priority="39">
      <formula>OR($CC19="lejrskole")</formula>
    </cfRule>
    <cfRule type="expression" dxfId="43" priority="38">
      <formula>OR($CC19="ekskursion")</formula>
    </cfRule>
    <cfRule type="expression" dxfId="42" priority="44" stopIfTrue="1">
      <formula>OR($CC19="skoledag")</formula>
    </cfRule>
    <cfRule type="expression" dxfId="41" priority="37">
      <formula>OR($CC19="SH-dag")</formula>
    </cfRule>
    <cfRule type="expression" dxfId="40" priority="36">
      <formula>OR($CC19="nul-dag")</formula>
    </cfRule>
  </conditionalFormatting>
  <conditionalFormatting sqref="CE26">
    <cfRule type="expression" dxfId="39" priority="117">
      <formula>OR($CC26="lejrskole")</formula>
    </cfRule>
    <cfRule type="expression" dxfId="38" priority="115">
      <formula>OR($CC26="SH-dag")</formula>
    </cfRule>
    <cfRule type="expression" dxfId="37" priority="122" stopIfTrue="1">
      <formula>OR($CC26="skoledag")</formula>
    </cfRule>
    <cfRule type="expression" dxfId="36" priority="121">
      <formula>OR($CC26="weekend")</formula>
    </cfRule>
    <cfRule type="expression" dxfId="35" priority="120">
      <formula>OR($CC26="feriedag")</formula>
    </cfRule>
    <cfRule type="expression" dxfId="34" priority="119">
      <formula>OR($CC26="fagdag")</formula>
    </cfRule>
    <cfRule type="expression" dxfId="33" priority="118">
      <formula>OR($CC26="emnedag")</formula>
    </cfRule>
    <cfRule type="expression" dxfId="32" priority="116">
      <formula>OR($CC26="ekskursion")</formula>
    </cfRule>
    <cfRule type="expression" dxfId="31" priority="114">
      <formula>OR($CC26="nul-dag")</formula>
    </cfRule>
    <cfRule type="expression" dxfId="30" priority="113">
      <formula>OR($CC26="pæd.dag")</formula>
    </cfRule>
  </conditionalFormatting>
  <conditionalFormatting sqref="CE26:CE27">
    <cfRule type="expression" dxfId="29" priority="34" stopIfTrue="1">
      <formula>OR($CC26="skoledag")</formula>
    </cfRule>
    <cfRule type="expression" dxfId="28" priority="31">
      <formula>OR($CC26="fagdag")</formula>
    </cfRule>
    <cfRule type="expression" dxfId="27" priority="33">
      <formula>OR($CC26="weekend")</formula>
    </cfRule>
    <cfRule type="expression" dxfId="26" priority="32">
      <formula>OR($CC26="feriedag")</formula>
    </cfRule>
    <cfRule type="expression" dxfId="25" priority="30">
      <formula>OR($CC26="emnedag")</formula>
    </cfRule>
    <cfRule type="expression" dxfId="24" priority="29">
      <formula>OR($CC26="lejrskole")</formula>
    </cfRule>
    <cfRule type="expression" dxfId="23" priority="28">
      <formula>OR($CC26="ekskursion")</formula>
    </cfRule>
    <cfRule type="expression" dxfId="22" priority="27">
      <formula>OR($CC26="SH-dag")</formula>
    </cfRule>
    <cfRule type="expression" dxfId="21" priority="26">
      <formula>OR($CC26="nul-dag")</formula>
    </cfRule>
    <cfRule type="expression" dxfId="20" priority="25">
      <formula>OR($CC26="pæd.dag")</formula>
    </cfRule>
  </conditionalFormatting>
  <conditionalFormatting sqref="CE33">
    <cfRule type="expression" dxfId="19" priority="123">
      <formula>OR($CC33="pæd.dag")</formula>
    </cfRule>
    <cfRule type="expression" dxfId="18" priority="129">
      <formula>OR($CC33="fagdag")</formula>
    </cfRule>
    <cfRule type="expression" dxfId="17" priority="130">
      <formula>OR($CC33="feriedag")</formula>
    </cfRule>
    <cfRule type="expression" dxfId="16" priority="131">
      <formula>OR($CC33="weekend")</formula>
    </cfRule>
    <cfRule type="expression" dxfId="15" priority="132" stopIfTrue="1">
      <formula>OR($CC33="skoledag")</formula>
    </cfRule>
    <cfRule type="expression" dxfId="14" priority="125">
      <formula>OR($CC33="SH-dag")</formula>
    </cfRule>
    <cfRule type="expression" dxfId="13" priority="126">
      <formula>OR($CC33="ekskursion")</formula>
    </cfRule>
    <cfRule type="expression" dxfId="12" priority="127">
      <formula>OR($CC33="lejrskole")</formula>
    </cfRule>
    <cfRule type="expression" dxfId="11" priority="128">
      <formula>OR($CC33="emnedag")</formula>
    </cfRule>
    <cfRule type="expression" dxfId="10" priority="124">
      <formula>OR($CC33="nul-dag")</formula>
    </cfRule>
  </conditionalFormatting>
  <conditionalFormatting sqref="CE33:CE34">
    <cfRule type="expression" dxfId="9" priority="16">
      <formula>OR($CC33="nul-dag")</formula>
    </cfRule>
    <cfRule type="expression" dxfId="8" priority="19">
      <formula>OR($CC33="lejrskole")</formula>
    </cfRule>
    <cfRule type="expression" dxfId="7" priority="23">
      <formula>OR($CC33="weekend")</formula>
    </cfRule>
    <cfRule type="expression" dxfId="6" priority="17">
      <formula>OR($CC33="SH-dag")</formula>
    </cfRule>
    <cfRule type="expression" dxfId="5" priority="15">
      <formula>OR($CC33="pæd.dag")</formula>
    </cfRule>
    <cfRule type="expression" dxfId="4" priority="22">
      <formula>OR($CC33="feriedag")</formula>
    </cfRule>
    <cfRule type="expression" dxfId="3" priority="21">
      <formula>OR($CC33="fagdag")</formula>
    </cfRule>
    <cfRule type="expression" dxfId="2" priority="20">
      <formula>OR($CC33="emnedag")</formula>
    </cfRule>
    <cfRule type="expression" dxfId="1" priority="24" stopIfTrue="1">
      <formula>OR($CC33="skoledag")</formula>
    </cfRule>
    <cfRule type="expression" dxfId="0" priority="18">
      <formula>OR($CC33="ekskursion")</formula>
    </cfRule>
  </conditionalFormatting>
  <dataValidations count="2">
    <dataValidation type="list" allowBlank="1" showInputMessage="1" sqref="D5:D35" xr:uid="{6BA82D39-C856-7549-982C-59759E7B7FC4}">
      <formula1>$A$37:$A$53</formula1>
    </dataValidation>
    <dataValidation type="list" allowBlank="1" showInputMessage="1" sqref="BV5:BV34 K5:K34 CC5:CC35 Y5:Y34 AF5:AF35 AM5:AM35 R5:R35 BA5:BA35 BH5:BH34 BO5:BO35 AT5:AT33" xr:uid="{9D215974-E024-7C4B-B849-51DA3091B9E0}">
      <formula1>$A$37:$A$50</formula1>
    </dataValidation>
  </dataValidations>
  <printOptions horizontalCentered="1" verticalCentered="1"/>
  <pageMargins left="0" right="0" top="0" bottom="0" header="0" footer="0"/>
  <pageSetup paperSize="9" orientation="portrait" horizontalDpi="4294967292" verticalDpi="4294967292"/>
  <colBreaks count="12" manualBreakCount="12">
    <brk id="8" max="1048575" man="1"/>
    <brk id="15" max="1048575" man="1"/>
    <brk id="22" max="1048575" man="1"/>
    <brk id="29" max="1048575" man="1"/>
    <brk id="36" max="1048575" man="1"/>
    <brk id="43" max="1048575" man="1"/>
    <brk id="50" max="1048575" man="1"/>
    <brk id="57" max="1048575" man="1"/>
    <brk id="64" max="1048575" man="1"/>
    <brk id="71" max="1048575" man="1"/>
    <brk id="78" max="1048575" man="1"/>
    <brk id="86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036CE-D2CB-4125-AA04-113C2FFC1446}">
  <sheetPr>
    <pageSetUpPr fitToPage="1"/>
  </sheetPr>
  <dimension ref="A1:Y34"/>
  <sheetViews>
    <sheetView workbookViewId="0">
      <selection activeCell="O4" sqref="O4:O18"/>
    </sheetView>
  </sheetViews>
  <sheetFormatPr defaultColWidth="11" defaultRowHeight="15.75" x14ac:dyDescent="0.25"/>
  <cols>
    <col min="1" max="2" width="3.625" customWidth="1"/>
    <col min="3" max="3" width="22.75" customWidth="1"/>
    <col min="4" max="4" width="5.125" customWidth="1"/>
    <col min="5" max="6" width="3.625" customWidth="1"/>
    <col min="7" max="7" width="17.75" customWidth="1"/>
    <col min="8" max="8" width="3.375" customWidth="1"/>
    <col min="9" max="10" width="3.625" customWidth="1"/>
    <col min="11" max="11" width="27.25" customWidth="1"/>
    <col min="12" max="12" width="5.125" customWidth="1"/>
    <col min="13" max="14" width="3.625" customWidth="1"/>
    <col min="15" max="15" width="23.5" customWidth="1"/>
    <col min="16" max="16" width="2.625" customWidth="1"/>
    <col min="17" max="18" width="3.625" customWidth="1"/>
    <col min="19" max="19" width="29.5" customWidth="1"/>
    <col min="20" max="20" width="2.875" customWidth="1"/>
    <col min="21" max="22" width="3.625" customWidth="1"/>
    <col min="23" max="23" width="16.375" customWidth="1"/>
    <col min="24" max="24" width="0.5" customWidth="1"/>
    <col min="25" max="25" width="6.625" customWidth="1"/>
  </cols>
  <sheetData>
    <row r="1" spans="1:24" ht="30" x14ac:dyDescent="0.4">
      <c r="A1" s="302" t="s">
        <v>266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  <c r="V1" s="303"/>
      <c r="W1" s="303"/>
      <c r="X1" s="304"/>
    </row>
    <row r="2" spans="1:24" ht="18" x14ac:dyDescent="0.25">
      <c r="A2" s="184" t="s">
        <v>54</v>
      </c>
      <c r="B2" s="181"/>
      <c r="C2" s="182"/>
      <c r="D2" s="183"/>
      <c r="E2" s="180" t="s">
        <v>55</v>
      </c>
      <c r="F2" s="181"/>
      <c r="G2" s="182"/>
      <c r="H2" s="183"/>
      <c r="I2" s="180" t="s">
        <v>56</v>
      </c>
      <c r="J2" s="181"/>
      <c r="K2" s="182"/>
      <c r="L2" s="183"/>
      <c r="M2" s="180" t="s">
        <v>57</v>
      </c>
      <c r="N2" s="181"/>
      <c r="O2" s="182"/>
      <c r="P2" s="183"/>
      <c r="Q2" s="180" t="s">
        <v>58</v>
      </c>
      <c r="R2" s="181"/>
      <c r="S2" s="182"/>
      <c r="T2" s="183"/>
      <c r="U2" s="180" t="s">
        <v>59</v>
      </c>
      <c r="V2" s="181"/>
      <c r="W2" s="182"/>
      <c r="X2" s="183"/>
    </row>
    <row r="3" spans="1:24" ht="33.75" customHeight="1" x14ac:dyDescent="0.25">
      <c r="A3" s="129">
        <v>1</v>
      </c>
      <c r="B3" s="130" t="s">
        <v>92</v>
      </c>
      <c r="C3" s="131"/>
      <c r="D3" s="136" t="s">
        <v>88</v>
      </c>
      <c r="E3" s="129">
        <v>1</v>
      </c>
      <c r="F3" s="130" t="s">
        <v>92</v>
      </c>
      <c r="G3" s="219" t="s">
        <v>183</v>
      </c>
      <c r="H3" s="132" t="s">
        <v>88</v>
      </c>
      <c r="I3" s="125">
        <v>1</v>
      </c>
      <c r="J3" s="126" t="s">
        <v>95</v>
      </c>
      <c r="K3" s="226" t="s">
        <v>238</v>
      </c>
      <c r="L3" s="135"/>
      <c r="M3" s="125">
        <v>1</v>
      </c>
      <c r="N3" s="126" t="s">
        <v>94</v>
      </c>
      <c r="O3" s="127"/>
      <c r="P3" s="128"/>
      <c r="Q3" s="129">
        <v>1</v>
      </c>
      <c r="R3" s="130" t="s">
        <v>97</v>
      </c>
      <c r="S3" s="131"/>
      <c r="T3" s="136" t="s">
        <v>88</v>
      </c>
      <c r="U3" s="147">
        <v>1</v>
      </c>
      <c r="V3" s="152" t="s">
        <v>95</v>
      </c>
      <c r="W3" s="153" t="s">
        <v>69</v>
      </c>
      <c r="X3" s="150"/>
    </row>
    <row r="4" spans="1:24" x14ac:dyDescent="0.25">
      <c r="A4" s="129">
        <v>2</v>
      </c>
      <c r="B4" s="130" t="s">
        <v>97</v>
      </c>
      <c r="C4" s="131"/>
      <c r="D4" s="136" t="s">
        <v>88</v>
      </c>
      <c r="E4" s="129">
        <v>2</v>
      </c>
      <c r="F4" s="130" t="s">
        <v>97</v>
      </c>
      <c r="G4" s="131"/>
      <c r="H4" s="132" t="s">
        <v>88</v>
      </c>
      <c r="I4" s="125">
        <v>2</v>
      </c>
      <c r="J4" s="126" t="s">
        <v>91</v>
      </c>
      <c r="K4" s="127"/>
      <c r="L4" s="135" t="s">
        <v>88</v>
      </c>
      <c r="M4" s="125">
        <v>2</v>
      </c>
      <c r="N4" s="126" t="s">
        <v>96</v>
      </c>
      <c r="O4" s="219" t="s">
        <v>291</v>
      </c>
      <c r="P4" s="128" t="s">
        <v>88</v>
      </c>
      <c r="Q4" s="125">
        <v>2</v>
      </c>
      <c r="R4" s="126" t="s">
        <v>93</v>
      </c>
      <c r="S4" s="127" t="s">
        <v>254</v>
      </c>
      <c r="T4" s="135">
        <v>23</v>
      </c>
      <c r="U4" s="147">
        <v>2</v>
      </c>
      <c r="V4" s="152" t="s">
        <v>91</v>
      </c>
      <c r="W4" s="153" t="s">
        <v>69</v>
      </c>
      <c r="X4" s="150" t="s">
        <v>88</v>
      </c>
    </row>
    <row r="5" spans="1:24" x14ac:dyDescent="0.25">
      <c r="A5" s="125">
        <v>3</v>
      </c>
      <c r="B5" s="126" t="s">
        <v>93</v>
      </c>
      <c r="C5" s="220" t="s">
        <v>208</v>
      </c>
      <c r="D5" s="135">
        <v>6</v>
      </c>
      <c r="E5" s="125">
        <v>3</v>
      </c>
      <c r="F5" s="126" t="s">
        <v>93</v>
      </c>
      <c r="G5" s="127"/>
      <c r="H5" s="128">
        <v>10</v>
      </c>
      <c r="I5" s="125">
        <v>3</v>
      </c>
      <c r="J5" s="126" t="s">
        <v>94</v>
      </c>
      <c r="K5" s="127" t="s">
        <v>229</v>
      </c>
      <c r="L5" s="135"/>
      <c r="M5" s="129">
        <v>3</v>
      </c>
      <c r="N5" s="130" t="s">
        <v>92</v>
      </c>
      <c r="O5" s="131"/>
      <c r="P5" s="132" t="s">
        <v>88</v>
      </c>
      <c r="Q5" s="125">
        <v>3</v>
      </c>
      <c r="R5" s="126" t="s">
        <v>95</v>
      </c>
      <c r="S5" s="127"/>
      <c r="T5" s="135"/>
      <c r="U5" s="147">
        <v>3</v>
      </c>
      <c r="V5" s="152" t="s">
        <v>94</v>
      </c>
      <c r="W5" s="153" t="s">
        <v>69</v>
      </c>
      <c r="X5" s="150"/>
    </row>
    <row r="6" spans="1:24" x14ac:dyDescent="0.25">
      <c r="A6" s="125">
        <v>4</v>
      </c>
      <c r="B6" s="126" t="s">
        <v>95</v>
      </c>
      <c r="C6" s="220" t="s">
        <v>177</v>
      </c>
      <c r="D6" s="135" t="s">
        <v>88</v>
      </c>
      <c r="E6" s="125">
        <v>4</v>
      </c>
      <c r="F6" s="126" t="s">
        <v>95</v>
      </c>
      <c r="G6" s="127"/>
      <c r="H6" s="128"/>
      <c r="I6" s="125">
        <v>4</v>
      </c>
      <c r="J6" s="126" t="s">
        <v>96</v>
      </c>
      <c r="K6" s="127"/>
      <c r="L6" s="135" t="s">
        <v>88</v>
      </c>
      <c r="M6" s="129">
        <v>4</v>
      </c>
      <c r="N6" s="130" t="s">
        <v>97</v>
      </c>
      <c r="O6" s="131"/>
      <c r="P6" s="132" t="s">
        <v>88</v>
      </c>
      <c r="Q6" s="125">
        <v>4</v>
      </c>
      <c r="R6" s="126" t="s">
        <v>91</v>
      </c>
      <c r="S6" s="127"/>
      <c r="T6" s="135" t="s">
        <v>88</v>
      </c>
      <c r="U6" s="147">
        <v>4</v>
      </c>
      <c r="V6" s="152" t="s">
        <v>96</v>
      </c>
      <c r="W6" s="153" t="s">
        <v>69</v>
      </c>
      <c r="X6" s="150" t="s">
        <v>88</v>
      </c>
    </row>
    <row r="7" spans="1:24" ht="51.75" x14ac:dyDescent="0.25">
      <c r="A7" s="125">
        <v>5</v>
      </c>
      <c r="B7" s="126" t="s">
        <v>91</v>
      </c>
      <c r="C7" s="220" t="s">
        <v>189</v>
      </c>
      <c r="D7" s="135"/>
      <c r="E7" s="125">
        <v>5</v>
      </c>
      <c r="F7" s="126" t="s">
        <v>91</v>
      </c>
      <c r="G7" s="127"/>
      <c r="H7" s="128" t="s">
        <v>88</v>
      </c>
      <c r="I7" s="129">
        <v>5</v>
      </c>
      <c r="J7" s="130" t="s">
        <v>92</v>
      </c>
      <c r="K7" s="131"/>
      <c r="L7" s="136" t="s">
        <v>88</v>
      </c>
      <c r="M7" s="125">
        <v>5</v>
      </c>
      <c r="N7" s="126" t="s">
        <v>93</v>
      </c>
      <c r="O7" s="226" t="s">
        <v>290</v>
      </c>
      <c r="P7" s="128">
        <v>19</v>
      </c>
      <c r="Q7" s="147">
        <v>5</v>
      </c>
      <c r="R7" s="148" t="s">
        <v>94</v>
      </c>
      <c r="S7" s="149" t="s">
        <v>271</v>
      </c>
      <c r="T7" s="151"/>
      <c r="U7" s="129">
        <v>5</v>
      </c>
      <c r="V7" s="130" t="s">
        <v>92</v>
      </c>
      <c r="W7" s="131"/>
      <c r="X7" s="132" t="s">
        <v>88</v>
      </c>
    </row>
    <row r="8" spans="1:24" x14ac:dyDescent="0.25">
      <c r="A8" s="125">
        <v>6</v>
      </c>
      <c r="B8" s="126" t="s">
        <v>94</v>
      </c>
      <c r="C8" s="220" t="s">
        <v>177</v>
      </c>
      <c r="D8" s="135"/>
      <c r="E8" s="125">
        <v>6</v>
      </c>
      <c r="F8" s="126" t="s">
        <v>94</v>
      </c>
      <c r="G8" s="127"/>
      <c r="H8" s="128"/>
      <c r="I8" s="129">
        <v>6</v>
      </c>
      <c r="J8" s="130" t="s">
        <v>97</v>
      </c>
      <c r="K8" s="131"/>
      <c r="L8" s="136" t="s">
        <v>88</v>
      </c>
      <c r="M8" s="125">
        <v>6</v>
      </c>
      <c r="N8" s="126" t="s">
        <v>95</v>
      </c>
      <c r="O8" s="127" t="s">
        <v>292</v>
      </c>
      <c r="P8" s="128"/>
      <c r="Q8" s="147">
        <v>6</v>
      </c>
      <c r="R8" s="148" t="s">
        <v>96</v>
      </c>
      <c r="S8" s="149" t="s">
        <v>66</v>
      </c>
      <c r="T8" s="151" t="s">
        <v>88</v>
      </c>
      <c r="U8" s="129">
        <v>6</v>
      </c>
      <c r="V8" s="130" t="s">
        <v>97</v>
      </c>
      <c r="W8" s="131"/>
      <c r="X8" s="132" t="s">
        <v>88</v>
      </c>
    </row>
    <row r="9" spans="1:24" ht="26.25" x14ac:dyDescent="0.25">
      <c r="A9" s="125">
        <v>7</v>
      </c>
      <c r="B9" s="126" t="s">
        <v>96</v>
      </c>
      <c r="C9" s="220" t="s">
        <v>177</v>
      </c>
      <c r="D9" s="135" t="s">
        <v>88</v>
      </c>
      <c r="E9" s="125">
        <v>7</v>
      </c>
      <c r="F9" s="126" t="s">
        <v>96</v>
      </c>
      <c r="G9" s="127"/>
      <c r="H9" s="128" t="s">
        <v>88</v>
      </c>
      <c r="I9" s="125">
        <v>7</v>
      </c>
      <c r="J9" s="126" t="s">
        <v>93</v>
      </c>
      <c r="K9" s="127" t="s">
        <v>288</v>
      </c>
      <c r="L9" s="135">
        <v>15</v>
      </c>
      <c r="M9" s="125">
        <v>7</v>
      </c>
      <c r="N9" s="126" t="s">
        <v>91</v>
      </c>
      <c r="O9" s="226" t="s">
        <v>298</v>
      </c>
      <c r="P9" s="128" t="s">
        <v>88</v>
      </c>
      <c r="Q9" s="129">
        <v>7</v>
      </c>
      <c r="R9" s="130" t="s">
        <v>92</v>
      </c>
      <c r="S9" s="131" t="s">
        <v>173</v>
      </c>
      <c r="T9" s="136" t="s">
        <v>88</v>
      </c>
      <c r="U9" s="147">
        <v>7</v>
      </c>
      <c r="V9" s="152" t="s">
        <v>93</v>
      </c>
      <c r="W9" s="153" t="s">
        <v>69</v>
      </c>
      <c r="X9" s="154">
        <v>28</v>
      </c>
    </row>
    <row r="10" spans="1:24" x14ac:dyDescent="0.25">
      <c r="A10" s="129">
        <v>8</v>
      </c>
      <c r="B10" s="130" t="s">
        <v>92</v>
      </c>
      <c r="C10" s="131"/>
      <c r="D10" s="136" t="s">
        <v>88</v>
      </c>
      <c r="E10" s="129">
        <v>8</v>
      </c>
      <c r="F10" s="130" t="s">
        <v>92</v>
      </c>
      <c r="G10" s="131"/>
      <c r="H10" s="132" t="s">
        <v>88</v>
      </c>
      <c r="I10" s="125">
        <v>8</v>
      </c>
      <c r="J10" s="126" t="s">
        <v>95</v>
      </c>
      <c r="K10" s="127" t="s">
        <v>252</v>
      </c>
      <c r="L10" s="135"/>
      <c r="M10" s="125">
        <v>8</v>
      </c>
      <c r="N10" s="126" t="s">
        <v>94</v>
      </c>
      <c r="O10" s="127" t="s">
        <v>294</v>
      </c>
      <c r="P10" s="128"/>
      <c r="Q10" s="129">
        <v>8</v>
      </c>
      <c r="R10" s="130" t="s">
        <v>97</v>
      </c>
      <c r="S10" s="131" t="s">
        <v>106</v>
      </c>
      <c r="T10" s="136" t="s">
        <v>88</v>
      </c>
      <c r="U10" s="147">
        <v>8</v>
      </c>
      <c r="V10" s="152" t="s">
        <v>95</v>
      </c>
      <c r="W10" s="153" t="s">
        <v>69</v>
      </c>
      <c r="X10" s="154"/>
    </row>
    <row r="11" spans="1:24" x14ac:dyDescent="0.25">
      <c r="A11" s="129">
        <v>9</v>
      </c>
      <c r="B11" s="130" t="s">
        <v>97</v>
      </c>
      <c r="C11" s="131"/>
      <c r="D11" s="136" t="s">
        <v>88</v>
      </c>
      <c r="E11" s="129">
        <v>9</v>
      </c>
      <c r="F11" s="130" t="s">
        <v>97</v>
      </c>
      <c r="G11" s="131"/>
      <c r="H11" s="132" t="s">
        <v>88</v>
      </c>
      <c r="I11" s="125">
        <v>9</v>
      </c>
      <c r="J11" s="126" t="s">
        <v>91</v>
      </c>
      <c r="K11" s="219" t="s">
        <v>273</v>
      </c>
      <c r="L11" s="135" t="s">
        <v>88</v>
      </c>
      <c r="M11" s="125">
        <v>9</v>
      </c>
      <c r="N11" s="126" t="s">
        <v>96</v>
      </c>
      <c r="O11" s="145"/>
      <c r="P11" s="128" t="s">
        <v>88</v>
      </c>
      <c r="Q11" s="147">
        <v>9</v>
      </c>
      <c r="R11" s="157" t="s">
        <v>93</v>
      </c>
      <c r="S11" s="158" t="s">
        <v>103</v>
      </c>
      <c r="T11" s="160">
        <v>24</v>
      </c>
      <c r="U11" s="147">
        <v>9</v>
      </c>
      <c r="V11" s="152" t="s">
        <v>91</v>
      </c>
      <c r="W11" s="153" t="s">
        <v>69</v>
      </c>
      <c r="X11" s="154" t="s">
        <v>88</v>
      </c>
    </row>
    <row r="12" spans="1:24" ht="26.25" x14ac:dyDescent="0.25">
      <c r="A12" s="147">
        <v>10</v>
      </c>
      <c r="B12" s="148" t="s">
        <v>93</v>
      </c>
      <c r="C12" s="218" t="s">
        <v>268</v>
      </c>
      <c r="D12" s="231">
        <v>7</v>
      </c>
      <c r="E12" s="125">
        <v>10</v>
      </c>
      <c r="F12" s="126" t="s">
        <v>93</v>
      </c>
      <c r="G12" s="127"/>
      <c r="H12" s="128">
        <v>11</v>
      </c>
      <c r="I12" s="125">
        <v>10</v>
      </c>
      <c r="J12" s="126" t="s">
        <v>94</v>
      </c>
      <c r="K12" s="127"/>
      <c r="L12" s="135"/>
      <c r="M12" s="129">
        <v>10</v>
      </c>
      <c r="N12" s="130" t="s">
        <v>92</v>
      </c>
      <c r="O12" s="131"/>
      <c r="P12" s="132" t="s">
        <v>88</v>
      </c>
      <c r="Q12" s="125">
        <v>10</v>
      </c>
      <c r="R12" s="126" t="s">
        <v>95</v>
      </c>
      <c r="S12" s="127"/>
      <c r="T12" s="135"/>
      <c r="U12" s="147">
        <v>10</v>
      </c>
      <c r="V12" s="152" t="s">
        <v>94</v>
      </c>
      <c r="W12" s="153" t="s">
        <v>69</v>
      </c>
      <c r="X12" s="154"/>
    </row>
    <row r="13" spans="1:24" ht="26.25" x14ac:dyDescent="0.25">
      <c r="A13" s="147">
        <v>11</v>
      </c>
      <c r="B13" s="148" t="s">
        <v>95</v>
      </c>
      <c r="C13" s="218" t="s">
        <v>268</v>
      </c>
      <c r="D13" s="231" t="s">
        <v>88</v>
      </c>
      <c r="E13" s="125">
        <v>11</v>
      </c>
      <c r="F13" s="126" t="s">
        <v>95</v>
      </c>
      <c r="G13" s="127"/>
      <c r="H13" s="128"/>
      <c r="I13" s="125">
        <v>11</v>
      </c>
      <c r="J13" s="126" t="s">
        <v>96</v>
      </c>
      <c r="K13" s="127"/>
      <c r="L13" s="135" t="s">
        <v>88</v>
      </c>
      <c r="M13" s="129">
        <v>11</v>
      </c>
      <c r="N13" s="130" t="s">
        <v>97</v>
      </c>
      <c r="O13" s="131"/>
      <c r="P13" s="132" t="s">
        <v>88</v>
      </c>
      <c r="Q13" s="125">
        <v>11</v>
      </c>
      <c r="R13" s="126" t="s">
        <v>91</v>
      </c>
      <c r="S13" s="127"/>
      <c r="T13" s="135" t="s">
        <v>88</v>
      </c>
      <c r="U13" s="147">
        <v>11</v>
      </c>
      <c r="V13" s="152" t="s">
        <v>96</v>
      </c>
      <c r="W13" s="153" t="s">
        <v>69</v>
      </c>
      <c r="X13" s="154" t="s">
        <v>88</v>
      </c>
    </row>
    <row r="14" spans="1:24" ht="26.25" x14ac:dyDescent="0.25">
      <c r="A14" s="147">
        <v>12</v>
      </c>
      <c r="B14" s="148" t="s">
        <v>91</v>
      </c>
      <c r="C14" s="218" t="s">
        <v>268</v>
      </c>
      <c r="D14" s="231"/>
      <c r="E14" s="125">
        <v>12</v>
      </c>
      <c r="F14" s="126" t="s">
        <v>91</v>
      </c>
      <c r="G14" s="127"/>
      <c r="H14" s="128" t="s">
        <v>88</v>
      </c>
      <c r="I14" s="129">
        <v>12</v>
      </c>
      <c r="J14" s="130" t="s">
        <v>92</v>
      </c>
      <c r="K14" s="131"/>
      <c r="L14" s="136" t="s">
        <v>88</v>
      </c>
      <c r="M14" s="125">
        <v>12</v>
      </c>
      <c r="N14" s="126" t="s">
        <v>93</v>
      </c>
      <c r="O14" s="127"/>
      <c r="P14" s="128">
        <v>20</v>
      </c>
      <c r="Q14" s="125">
        <v>12</v>
      </c>
      <c r="R14" s="126" t="s">
        <v>94</v>
      </c>
      <c r="S14" s="127"/>
      <c r="T14" s="135"/>
      <c r="U14" s="129">
        <v>12</v>
      </c>
      <c r="V14" s="130" t="s">
        <v>92</v>
      </c>
      <c r="W14" s="131"/>
      <c r="X14" s="132" t="s">
        <v>88</v>
      </c>
    </row>
    <row r="15" spans="1:24" ht="26.25" x14ac:dyDescent="0.25">
      <c r="A15" s="147">
        <v>13</v>
      </c>
      <c r="B15" s="148" t="s">
        <v>94</v>
      </c>
      <c r="C15" s="218" t="s">
        <v>268</v>
      </c>
      <c r="D15" s="231"/>
      <c r="E15" s="125">
        <v>13</v>
      </c>
      <c r="F15" s="126" t="s">
        <v>94</v>
      </c>
      <c r="G15" s="127"/>
      <c r="H15" s="128"/>
      <c r="I15" s="129">
        <v>13</v>
      </c>
      <c r="J15" s="130" t="s">
        <v>97</v>
      </c>
      <c r="K15" s="131" t="s">
        <v>105</v>
      </c>
      <c r="L15" s="136" t="s">
        <v>88</v>
      </c>
      <c r="M15" s="125">
        <v>13</v>
      </c>
      <c r="N15" s="126" t="s">
        <v>95</v>
      </c>
      <c r="O15" s="127" t="s">
        <v>236</v>
      </c>
      <c r="P15" s="128"/>
      <c r="Q15" s="125">
        <v>13</v>
      </c>
      <c r="R15" s="126" t="s">
        <v>96</v>
      </c>
      <c r="S15" s="219" t="s">
        <v>178</v>
      </c>
      <c r="T15" s="135" t="s">
        <v>88</v>
      </c>
      <c r="U15" s="129">
        <v>13</v>
      </c>
      <c r="V15" s="130" t="s">
        <v>97</v>
      </c>
      <c r="W15" s="131"/>
      <c r="X15" s="132" t="s">
        <v>88</v>
      </c>
    </row>
    <row r="16" spans="1:24" ht="26.25" x14ac:dyDescent="0.25">
      <c r="A16" s="147">
        <v>14</v>
      </c>
      <c r="B16" s="148" t="s">
        <v>96</v>
      </c>
      <c r="C16" s="218" t="s">
        <v>268</v>
      </c>
      <c r="D16" s="231" t="s">
        <v>88</v>
      </c>
      <c r="E16" s="125">
        <v>14</v>
      </c>
      <c r="F16" s="126" t="s">
        <v>96</v>
      </c>
      <c r="G16" s="127"/>
      <c r="H16" s="128" t="s">
        <v>88</v>
      </c>
      <c r="I16" s="147">
        <v>14</v>
      </c>
      <c r="J16" s="148" t="s">
        <v>93</v>
      </c>
      <c r="K16" s="149" t="s">
        <v>269</v>
      </c>
      <c r="L16" s="151">
        <v>16</v>
      </c>
      <c r="M16" s="125">
        <v>14</v>
      </c>
      <c r="N16" s="126" t="s">
        <v>91</v>
      </c>
      <c r="O16" s="127"/>
      <c r="P16" s="128" t="s">
        <v>88</v>
      </c>
      <c r="Q16" s="129">
        <v>14</v>
      </c>
      <c r="R16" s="130" t="s">
        <v>92</v>
      </c>
      <c r="S16" s="131"/>
      <c r="T16" s="136" t="s">
        <v>88</v>
      </c>
      <c r="U16" s="147">
        <v>14</v>
      </c>
      <c r="V16" s="152" t="s">
        <v>93</v>
      </c>
      <c r="W16" s="153" t="s">
        <v>69</v>
      </c>
      <c r="X16" s="154">
        <v>29</v>
      </c>
    </row>
    <row r="17" spans="1:24" x14ac:dyDescent="0.25">
      <c r="A17" s="129">
        <v>15</v>
      </c>
      <c r="B17" s="130" t="s">
        <v>92</v>
      </c>
      <c r="C17" s="131"/>
      <c r="D17" s="136" t="s">
        <v>88</v>
      </c>
      <c r="E17" s="129">
        <v>15</v>
      </c>
      <c r="F17" s="130" t="s">
        <v>92</v>
      </c>
      <c r="G17" s="131"/>
      <c r="H17" s="132" t="s">
        <v>88</v>
      </c>
      <c r="I17" s="147">
        <v>15</v>
      </c>
      <c r="J17" s="148" t="s">
        <v>95</v>
      </c>
      <c r="K17" s="149" t="s">
        <v>269</v>
      </c>
      <c r="L17" s="151"/>
      <c r="M17" s="125">
        <v>15</v>
      </c>
      <c r="N17" s="126" t="s">
        <v>94</v>
      </c>
      <c r="O17" s="127"/>
      <c r="P17" s="128"/>
      <c r="Q17" s="129">
        <v>15</v>
      </c>
      <c r="R17" s="130" t="s">
        <v>97</v>
      </c>
      <c r="S17" s="131"/>
      <c r="T17" s="136" t="s">
        <v>88</v>
      </c>
      <c r="U17" s="147">
        <v>15</v>
      </c>
      <c r="V17" s="152" t="s">
        <v>95</v>
      </c>
      <c r="W17" s="153" t="s">
        <v>69</v>
      </c>
      <c r="X17" s="154"/>
    </row>
    <row r="18" spans="1:24" x14ac:dyDescent="0.25">
      <c r="A18" s="129">
        <v>16</v>
      </c>
      <c r="B18" s="130" t="s">
        <v>97</v>
      </c>
      <c r="C18" s="131"/>
      <c r="D18" s="136" t="s">
        <v>88</v>
      </c>
      <c r="E18" s="129">
        <v>16</v>
      </c>
      <c r="F18" s="130" t="s">
        <v>97</v>
      </c>
      <c r="G18" s="131"/>
      <c r="H18" s="132" t="s">
        <v>88</v>
      </c>
      <c r="I18" s="147">
        <v>16</v>
      </c>
      <c r="J18" s="148" t="s">
        <v>91</v>
      </c>
      <c r="K18" s="149" t="s">
        <v>269</v>
      </c>
      <c r="L18" s="151" t="s">
        <v>88</v>
      </c>
      <c r="M18" s="125">
        <v>16</v>
      </c>
      <c r="N18" s="126" t="s">
        <v>96</v>
      </c>
      <c r="O18" s="178" t="s">
        <v>170</v>
      </c>
      <c r="P18" s="128" t="s">
        <v>88</v>
      </c>
      <c r="Q18" s="125">
        <v>16</v>
      </c>
      <c r="R18" s="126" t="s">
        <v>93</v>
      </c>
      <c r="S18" s="127"/>
      <c r="T18" s="135">
        <v>25</v>
      </c>
      <c r="U18" s="147">
        <v>16</v>
      </c>
      <c r="V18" s="152" t="s">
        <v>91</v>
      </c>
      <c r="W18" s="153" t="s">
        <v>69</v>
      </c>
      <c r="X18" s="154" t="s">
        <v>88</v>
      </c>
    </row>
    <row r="19" spans="1:24" x14ac:dyDescent="0.25">
      <c r="A19" s="125">
        <v>17</v>
      </c>
      <c r="B19" s="126" t="s">
        <v>93</v>
      </c>
      <c r="C19" s="127"/>
      <c r="D19" s="135">
        <v>8</v>
      </c>
      <c r="E19" s="125">
        <v>17</v>
      </c>
      <c r="F19" s="126" t="s">
        <v>93</v>
      </c>
      <c r="G19" s="127"/>
      <c r="H19" s="128">
        <v>12</v>
      </c>
      <c r="I19" s="147">
        <v>17</v>
      </c>
      <c r="J19" s="157" t="s">
        <v>94</v>
      </c>
      <c r="K19" s="158" t="s">
        <v>60</v>
      </c>
      <c r="L19" s="160"/>
      <c r="M19" s="129">
        <v>17</v>
      </c>
      <c r="N19" s="130" t="s">
        <v>92</v>
      </c>
      <c r="O19" s="131"/>
      <c r="P19" s="132" t="s">
        <v>88</v>
      </c>
      <c r="Q19" s="125">
        <v>17</v>
      </c>
      <c r="R19" s="126" t="s">
        <v>95</v>
      </c>
      <c r="S19" s="127"/>
      <c r="T19" s="135"/>
      <c r="U19" s="147">
        <v>17</v>
      </c>
      <c r="V19" s="152" t="s">
        <v>94</v>
      </c>
      <c r="W19" s="153" t="s">
        <v>69</v>
      </c>
      <c r="X19" s="154"/>
    </row>
    <row r="20" spans="1:24" x14ac:dyDescent="0.25">
      <c r="A20" s="125">
        <v>18</v>
      </c>
      <c r="B20" s="126" t="s">
        <v>95</v>
      </c>
      <c r="C20" s="127"/>
      <c r="D20" s="135" t="s">
        <v>88</v>
      </c>
      <c r="E20" s="125">
        <v>18</v>
      </c>
      <c r="F20" s="126" t="s">
        <v>95</v>
      </c>
      <c r="G20" s="127"/>
      <c r="H20" s="128"/>
      <c r="I20" s="147">
        <v>18</v>
      </c>
      <c r="J20" s="157" t="s">
        <v>96</v>
      </c>
      <c r="K20" s="158" t="s">
        <v>101</v>
      </c>
      <c r="L20" s="160" t="s">
        <v>88</v>
      </c>
      <c r="M20" s="129">
        <v>18</v>
      </c>
      <c r="N20" s="130" t="s">
        <v>97</v>
      </c>
      <c r="O20" s="267"/>
      <c r="P20" s="268"/>
      <c r="Q20" s="125">
        <v>18</v>
      </c>
      <c r="R20" s="126" t="s">
        <v>91</v>
      </c>
      <c r="S20" s="127"/>
      <c r="T20" s="135" t="s">
        <v>88</v>
      </c>
      <c r="U20" s="147">
        <v>18</v>
      </c>
      <c r="V20" s="155" t="s">
        <v>96</v>
      </c>
      <c r="W20" s="153" t="s">
        <v>69</v>
      </c>
      <c r="X20" s="154" t="s">
        <v>88</v>
      </c>
    </row>
    <row r="21" spans="1:24" ht="26.25" x14ac:dyDescent="0.25">
      <c r="A21" s="125">
        <v>19</v>
      </c>
      <c r="B21" s="126" t="s">
        <v>91</v>
      </c>
      <c r="C21" s="127"/>
      <c r="D21" s="135"/>
      <c r="E21" s="125">
        <v>19</v>
      </c>
      <c r="F21" s="126" t="s">
        <v>91</v>
      </c>
      <c r="G21" s="127" t="s">
        <v>190</v>
      </c>
      <c r="H21" s="128" t="s">
        <v>88</v>
      </c>
      <c r="I21" s="129">
        <v>19</v>
      </c>
      <c r="J21" s="130" t="s">
        <v>92</v>
      </c>
      <c r="K21" s="131"/>
      <c r="L21" s="136" t="s">
        <v>88</v>
      </c>
      <c r="M21" s="125">
        <v>19</v>
      </c>
      <c r="N21" s="126" t="s">
        <v>93</v>
      </c>
      <c r="O21" s="226" t="s">
        <v>249</v>
      </c>
      <c r="P21" s="128">
        <v>21</v>
      </c>
      <c r="Q21" s="125">
        <v>19</v>
      </c>
      <c r="R21" s="126" t="s">
        <v>94</v>
      </c>
      <c r="S21" s="127"/>
      <c r="T21" s="135"/>
      <c r="U21" s="129">
        <v>19</v>
      </c>
      <c r="V21" s="130" t="s">
        <v>92</v>
      </c>
      <c r="W21" s="131"/>
      <c r="X21" s="132" t="s">
        <v>88</v>
      </c>
    </row>
    <row r="22" spans="1:24" x14ac:dyDescent="0.25">
      <c r="A22" s="125">
        <v>20</v>
      </c>
      <c r="B22" s="126" t="s">
        <v>94</v>
      </c>
      <c r="C22" s="127"/>
      <c r="D22" s="135"/>
      <c r="E22" s="125">
        <v>20</v>
      </c>
      <c r="F22" s="126" t="s">
        <v>94</v>
      </c>
      <c r="G22" s="127"/>
      <c r="H22" s="128"/>
      <c r="I22" s="129">
        <v>20</v>
      </c>
      <c r="J22" s="130" t="s">
        <v>97</v>
      </c>
      <c r="K22" s="131" t="s">
        <v>73</v>
      </c>
      <c r="L22" s="136" t="s">
        <v>88</v>
      </c>
      <c r="M22" s="125">
        <v>20</v>
      </c>
      <c r="N22" s="126" t="s">
        <v>95</v>
      </c>
      <c r="O22" s="127" t="s">
        <v>245</v>
      </c>
      <c r="P22" s="128"/>
      <c r="Q22" s="125">
        <v>20</v>
      </c>
      <c r="R22" s="134" t="s">
        <v>96</v>
      </c>
      <c r="S22" s="219" t="s">
        <v>181</v>
      </c>
      <c r="T22" s="135" t="s">
        <v>88</v>
      </c>
      <c r="U22" s="129">
        <v>20</v>
      </c>
      <c r="V22" s="130" t="s">
        <v>97</v>
      </c>
      <c r="W22" s="131"/>
      <c r="X22" s="132" t="s">
        <v>88</v>
      </c>
    </row>
    <row r="23" spans="1:24" x14ac:dyDescent="0.25">
      <c r="A23" s="125">
        <v>21</v>
      </c>
      <c r="B23" s="126" t="s">
        <v>96</v>
      </c>
      <c r="C23" s="127"/>
      <c r="D23" s="135" t="s">
        <v>88</v>
      </c>
      <c r="E23" s="125">
        <v>21</v>
      </c>
      <c r="F23" s="126" t="s">
        <v>96</v>
      </c>
      <c r="G23" s="225" t="s">
        <v>199</v>
      </c>
      <c r="H23" s="128" t="s">
        <v>88</v>
      </c>
      <c r="I23" s="147">
        <v>21</v>
      </c>
      <c r="J23" s="157" t="s">
        <v>93</v>
      </c>
      <c r="K23" s="158" t="s">
        <v>145</v>
      </c>
      <c r="L23" s="160">
        <v>17</v>
      </c>
      <c r="M23" s="125">
        <v>21</v>
      </c>
      <c r="N23" s="126" t="s">
        <v>91</v>
      </c>
      <c r="O23" s="127"/>
      <c r="P23" s="128" t="s">
        <v>88</v>
      </c>
      <c r="Q23" s="129">
        <v>21</v>
      </c>
      <c r="R23" s="130" t="s">
        <v>92</v>
      </c>
      <c r="S23" s="131"/>
      <c r="T23" s="136" t="s">
        <v>88</v>
      </c>
      <c r="U23" s="147">
        <v>21</v>
      </c>
      <c r="V23" s="155" t="s">
        <v>93</v>
      </c>
      <c r="W23" s="153" t="s">
        <v>69</v>
      </c>
      <c r="X23" s="154">
        <v>30</v>
      </c>
    </row>
    <row r="24" spans="1:24" ht="26.25" x14ac:dyDescent="0.25">
      <c r="A24" s="129">
        <v>22</v>
      </c>
      <c r="B24" s="130" t="s">
        <v>92</v>
      </c>
      <c r="C24" s="131"/>
      <c r="D24" s="136" t="s">
        <v>88</v>
      </c>
      <c r="E24" s="129">
        <v>22</v>
      </c>
      <c r="F24" s="130" t="s">
        <v>92</v>
      </c>
      <c r="G24" s="131"/>
      <c r="H24" s="132" t="s">
        <v>88</v>
      </c>
      <c r="I24" s="125">
        <v>22</v>
      </c>
      <c r="J24" s="126" t="s">
        <v>95</v>
      </c>
      <c r="K24" s="226" t="s">
        <v>242</v>
      </c>
      <c r="L24" s="135"/>
      <c r="M24" s="125">
        <v>22</v>
      </c>
      <c r="N24" s="126" t="s">
        <v>94</v>
      </c>
      <c r="O24" s="127"/>
      <c r="P24" s="128"/>
      <c r="Q24" s="129">
        <v>22</v>
      </c>
      <c r="R24" s="130" t="s">
        <v>97</v>
      </c>
      <c r="S24" s="131"/>
      <c r="T24" s="136" t="s">
        <v>88</v>
      </c>
      <c r="U24" s="147">
        <v>22</v>
      </c>
      <c r="V24" s="152" t="s">
        <v>95</v>
      </c>
      <c r="W24" s="153" t="s">
        <v>69</v>
      </c>
      <c r="X24" s="154"/>
    </row>
    <row r="25" spans="1:24" x14ac:dyDescent="0.25">
      <c r="A25" s="129">
        <v>23</v>
      </c>
      <c r="B25" s="130" t="s">
        <v>97</v>
      </c>
      <c r="C25" s="131"/>
      <c r="D25" s="136" t="s">
        <v>88</v>
      </c>
      <c r="E25" s="129">
        <v>23</v>
      </c>
      <c r="F25" s="130" t="s">
        <v>97</v>
      </c>
      <c r="G25" s="131"/>
      <c r="H25" s="132" t="s">
        <v>88</v>
      </c>
      <c r="I25" s="125">
        <v>23</v>
      </c>
      <c r="J25" s="126" t="s">
        <v>91</v>
      </c>
      <c r="K25" s="127"/>
      <c r="L25" s="135" t="s">
        <v>88</v>
      </c>
      <c r="M25" s="125">
        <v>23</v>
      </c>
      <c r="N25" s="134" t="s">
        <v>96</v>
      </c>
      <c r="O25" s="127"/>
      <c r="P25" s="128" t="s">
        <v>88</v>
      </c>
      <c r="Q25" s="125">
        <v>23</v>
      </c>
      <c r="R25" s="134" t="s">
        <v>93</v>
      </c>
      <c r="S25" s="127"/>
      <c r="T25" s="135">
        <v>26</v>
      </c>
      <c r="U25" s="147">
        <v>23</v>
      </c>
      <c r="V25" s="152" t="s">
        <v>91</v>
      </c>
      <c r="W25" s="153" t="s">
        <v>69</v>
      </c>
      <c r="X25" s="154" t="s">
        <v>88</v>
      </c>
    </row>
    <row r="26" spans="1:24" x14ac:dyDescent="0.25">
      <c r="A26" s="125">
        <v>24</v>
      </c>
      <c r="B26" s="126" t="s">
        <v>93</v>
      </c>
      <c r="C26" s="127"/>
      <c r="D26" s="135">
        <v>9</v>
      </c>
      <c r="E26" s="125">
        <v>24</v>
      </c>
      <c r="F26" s="126" t="s">
        <v>93</v>
      </c>
      <c r="G26" s="127"/>
      <c r="H26" s="128">
        <v>13</v>
      </c>
      <c r="I26" s="125">
        <v>24</v>
      </c>
      <c r="J26" s="126" t="s">
        <v>94</v>
      </c>
      <c r="K26" s="127" t="s">
        <v>228</v>
      </c>
      <c r="L26" s="135"/>
      <c r="M26" s="129">
        <v>24</v>
      </c>
      <c r="N26" s="130" t="s">
        <v>92</v>
      </c>
      <c r="O26" s="131"/>
      <c r="P26" s="132" t="s">
        <v>88</v>
      </c>
      <c r="Q26" s="125">
        <v>24</v>
      </c>
      <c r="R26" s="126" t="s">
        <v>95</v>
      </c>
      <c r="S26" s="127"/>
      <c r="T26" s="135"/>
      <c r="U26" s="147">
        <v>24</v>
      </c>
      <c r="V26" s="152" t="s">
        <v>94</v>
      </c>
      <c r="W26" s="153" t="s">
        <v>69</v>
      </c>
      <c r="X26" s="154"/>
    </row>
    <row r="27" spans="1:24" x14ac:dyDescent="0.25">
      <c r="A27" s="125">
        <v>25</v>
      </c>
      <c r="B27" s="126" t="s">
        <v>95</v>
      </c>
      <c r="C27" s="127"/>
      <c r="D27" s="135" t="s">
        <v>88</v>
      </c>
      <c r="E27" s="125">
        <v>25</v>
      </c>
      <c r="F27" s="126" t="s">
        <v>95</v>
      </c>
      <c r="G27" s="127"/>
      <c r="H27" s="128"/>
      <c r="I27" s="125">
        <v>25</v>
      </c>
      <c r="J27" s="134" t="s">
        <v>96</v>
      </c>
      <c r="K27" s="127" t="s">
        <v>214</v>
      </c>
      <c r="L27" s="135" t="s">
        <v>88</v>
      </c>
      <c r="M27" s="129">
        <v>25</v>
      </c>
      <c r="N27" s="130" t="s">
        <v>97</v>
      </c>
      <c r="O27" s="131"/>
      <c r="P27" s="132" t="s">
        <v>88</v>
      </c>
      <c r="Q27" s="125">
        <v>25</v>
      </c>
      <c r="R27" s="126" t="s">
        <v>91</v>
      </c>
      <c r="S27" s="178" t="s">
        <v>165</v>
      </c>
      <c r="T27" s="135" t="s">
        <v>88</v>
      </c>
      <c r="U27" s="147">
        <v>25</v>
      </c>
      <c r="V27" s="152" t="s">
        <v>96</v>
      </c>
      <c r="W27" s="153" t="s">
        <v>69</v>
      </c>
      <c r="X27" s="154" t="s">
        <v>88</v>
      </c>
    </row>
    <row r="28" spans="1:24" ht="26.25" x14ac:dyDescent="0.25">
      <c r="A28" s="125">
        <v>26</v>
      </c>
      <c r="B28" s="126" t="s">
        <v>91</v>
      </c>
      <c r="C28" s="127"/>
      <c r="D28" s="135"/>
      <c r="E28" s="125">
        <v>26</v>
      </c>
      <c r="F28" s="126" t="s">
        <v>91</v>
      </c>
      <c r="G28" s="127"/>
      <c r="H28" s="128" t="s">
        <v>88</v>
      </c>
      <c r="I28" s="129">
        <v>26</v>
      </c>
      <c r="J28" s="130" t="s">
        <v>92</v>
      </c>
      <c r="K28" s="131"/>
      <c r="L28" s="136" t="s">
        <v>88</v>
      </c>
      <c r="M28" s="125">
        <v>26</v>
      </c>
      <c r="N28" s="134" t="s">
        <v>93</v>
      </c>
      <c r="O28" s="226" t="s">
        <v>297</v>
      </c>
      <c r="P28" s="128">
        <v>22</v>
      </c>
      <c r="Q28" s="125">
        <v>26</v>
      </c>
      <c r="R28" s="126" t="s">
        <v>94</v>
      </c>
      <c r="S28" s="218" t="s">
        <v>180</v>
      </c>
      <c r="T28" s="135"/>
      <c r="U28" s="129">
        <v>26</v>
      </c>
      <c r="V28" s="133" t="s">
        <v>92</v>
      </c>
      <c r="W28" s="131"/>
      <c r="X28" s="132" t="s">
        <v>88</v>
      </c>
    </row>
    <row r="29" spans="1:24" x14ac:dyDescent="0.25">
      <c r="A29" s="125">
        <v>27</v>
      </c>
      <c r="B29" s="126" t="s">
        <v>94</v>
      </c>
      <c r="C29" s="127"/>
      <c r="D29" s="135"/>
      <c r="E29" s="125">
        <v>27</v>
      </c>
      <c r="F29" s="126" t="s">
        <v>94</v>
      </c>
      <c r="G29" s="127"/>
      <c r="H29" s="128"/>
      <c r="I29" s="129">
        <v>27</v>
      </c>
      <c r="J29" s="130" t="s">
        <v>97</v>
      </c>
      <c r="K29" s="131"/>
      <c r="L29" s="136" t="s">
        <v>88</v>
      </c>
      <c r="M29" s="125">
        <v>27</v>
      </c>
      <c r="N29" s="126" t="s">
        <v>95</v>
      </c>
      <c r="O29" s="127" t="s">
        <v>222</v>
      </c>
      <c r="P29" s="128"/>
      <c r="Q29" s="125">
        <v>27</v>
      </c>
      <c r="R29" s="126" t="s">
        <v>96</v>
      </c>
      <c r="S29" s="178" t="s">
        <v>166</v>
      </c>
      <c r="T29" s="135" t="s">
        <v>88</v>
      </c>
      <c r="U29" s="129">
        <v>27</v>
      </c>
      <c r="V29" s="130" t="s">
        <v>97</v>
      </c>
      <c r="W29" s="131"/>
      <c r="X29" s="132" t="s">
        <v>88</v>
      </c>
    </row>
    <row r="30" spans="1:24" x14ac:dyDescent="0.25">
      <c r="A30" s="125">
        <v>28</v>
      </c>
      <c r="B30" s="134" t="s">
        <v>96</v>
      </c>
      <c r="C30" s="127"/>
      <c r="D30" s="128" t="s">
        <v>88</v>
      </c>
      <c r="E30" s="125">
        <v>28</v>
      </c>
      <c r="F30" s="134" t="s">
        <v>96</v>
      </c>
      <c r="G30" s="127"/>
      <c r="H30" s="128" t="s">
        <v>88</v>
      </c>
      <c r="I30" s="125">
        <v>28</v>
      </c>
      <c r="J30" s="134" t="s">
        <v>93</v>
      </c>
      <c r="K30" s="127" t="s">
        <v>223</v>
      </c>
      <c r="L30" s="135">
        <v>18</v>
      </c>
      <c r="M30" s="125">
        <v>28</v>
      </c>
      <c r="N30" s="126" t="s">
        <v>91</v>
      </c>
      <c r="O30" s="127"/>
      <c r="P30" s="128" t="s">
        <v>88</v>
      </c>
      <c r="Q30" s="129">
        <v>28</v>
      </c>
      <c r="R30" s="133" t="s">
        <v>92</v>
      </c>
      <c r="S30" s="131"/>
      <c r="T30" s="136" t="s">
        <v>88</v>
      </c>
      <c r="U30" s="147">
        <v>28</v>
      </c>
      <c r="V30" s="152" t="s">
        <v>93</v>
      </c>
      <c r="W30" s="153" t="s">
        <v>69</v>
      </c>
      <c r="X30" s="154">
        <v>31</v>
      </c>
    </row>
    <row r="31" spans="1:24" x14ac:dyDescent="0.25">
      <c r="A31" s="109"/>
      <c r="B31" s="110"/>
      <c r="C31" s="111"/>
      <c r="D31" s="83"/>
      <c r="E31" s="129">
        <v>29</v>
      </c>
      <c r="F31" s="130" t="s">
        <v>92</v>
      </c>
      <c r="G31" s="131"/>
      <c r="H31" s="132" t="s">
        <v>88</v>
      </c>
      <c r="I31" s="125">
        <v>29</v>
      </c>
      <c r="J31" s="126" t="s">
        <v>95</v>
      </c>
      <c r="K31" s="127"/>
      <c r="L31" s="135"/>
      <c r="M31" s="147">
        <v>29</v>
      </c>
      <c r="N31" s="157" t="s">
        <v>94</v>
      </c>
      <c r="O31" s="158" t="s">
        <v>151</v>
      </c>
      <c r="P31" s="159"/>
      <c r="Q31" s="129">
        <v>29</v>
      </c>
      <c r="R31" s="130" t="s">
        <v>97</v>
      </c>
      <c r="S31" s="131"/>
      <c r="T31" s="136" t="s">
        <v>88</v>
      </c>
      <c r="U31" s="147">
        <v>29</v>
      </c>
      <c r="V31" s="152" t="s">
        <v>95</v>
      </c>
      <c r="W31" s="153" t="s">
        <v>69</v>
      </c>
      <c r="X31" s="154"/>
    </row>
    <row r="32" spans="1:24" x14ac:dyDescent="0.25">
      <c r="A32" s="112"/>
      <c r="B32" s="113"/>
      <c r="C32" s="114"/>
      <c r="D32" s="82"/>
      <c r="E32" s="129">
        <v>30</v>
      </c>
      <c r="F32" s="130" t="s">
        <v>97</v>
      </c>
      <c r="G32" s="131"/>
      <c r="H32" s="132" t="s">
        <v>88</v>
      </c>
      <c r="I32" s="125">
        <v>30</v>
      </c>
      <c r="J32" s="126" t="s">
        <v>91</v>
      </c>
      <c r="K32" s="127"/>
      <c r="L32" s="135" t="s">
        <v>88</v>
      </c>
      <c r="M32" s="147">
        <v>30</v>
      </c>
      <c r="N32" s="148" t="s">
        <v>96</v>
      </c>
      <c r="O32" s="149" t="s">
        <v>272</v>
      </c>
      <c r="P32" s="150" t="s">
        <v>88</v>
      </c>
      <c r="Q32" s="147">
        <v>30</v>
      </c>
      <c r="R32" s="148" t="s">
        <v>93</v>
      </c>
      <c r="S32" s="153" t="s">
        <v>69</v>
      </c>
      <c r="T32" s="232">
        <v>27</v>
      </c>
      <c r="U32" s="147">
        <v>30</v>
      </c>
      <c r="V32" s="152" t="s">
        <v>91</v>
      </c>
      <c r="W32" s="153" t="s">
        <v>69</v>
      </c>
      <c r="X32" s="154" t="s">
        <v>88</v>
      </c>
    </row>
    <row r="33" spans="1:25" ht="48.75" x14ac:dyDescent="0.25">
      <c r="E33" s="166">
        <v>31</v>
      </c>
      <c r="F33" s="167" t="s">
        <v>93</v>
      </c>
      <c r="G33" s="191" t="s">
        <v>270</v>
      </c>
      <c r="H33" s="168">
        <v>14</v>
      </c>
      <c r="I33" s="112"/>
      <c r="J33" s="113"/>
      <c r="K33" s="114"/>
      <c r="L33" s="82"/>
      <c r="M33" s="169">
        <v>31</v>
      </c>
      <c r="N33" s="170" t="s">
        <v>92</v>
      </c>
      <c r="O33" s="171"/>
      <c r="P33" s="172" t="s">
        <v>88</v>
      </c>
      <c r="Q33" s="112"/>
      <c r="R33" s="113"/>
      <c r="S33" s="114"/>
      <c r="T33" s="82"/>
      <c r="U33" s="166">
        <v>31</v>
      </c>
      <c r="V33" s="173" t="s">
        <v>94</v>
      </c>
      <c r="W33" s="230" t="s">
        <v>195</v>
      </c>
      <c r="X33" s="174"/>
    </row>
    <row r="34" spans="1:25" x14ac:dyDescent="0.25">
      <c r="A34" s="185"/>
      <c r="B34" s="185"/>
      <c r="C34" s="185"/>
      <c r="D34" s="185">
        <v>15</v>
      </c>
      <c r="E34" s="185"/>
      <c r="F34" s="185"/>
      <c r="G34" s="185"/>
      <c r="H34" s="185">
        <v>20</v>
      </c>
      <c r="I34" s="185"/>
      <c r="J34" s="185"/>
      <c r="K34" s="185"/>
      <c r="L34" s="185">
        <v>16</v>
      </c>
      <c r="M34" s="185"/>
      <c r="N34" s="185"/>
      <c r="O34" s="185"/>
      <c r="P34" s="185">
        <v>20</v>
      </c>
      <c r="Q34" s="185"/>
      <c r="R34" s="185"/>
      <c r="S34" s="185"/>
      <c r="T34" s="185">
        <v>17</v>
      </c>
      <c r="U34" s="185"/>
      <c r="V34" s="185"/>
      <c r="W34" s="185"/>
      <c r="X34" s="185"/>
      <c r="Y34" s="185">
        <f>SUM(A34:X34)</f>
        <v>88</v>
      </c>
    </row>
  </sheetData>
  <mergeCells count="2">
    <mergeCell ref="A1:X1"/>
    <mergeCell ref="O20:P20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3919B-6E58-7548-BAFA-A31F2E9C397B}">
  <sheetPr>
    <pageSetUpPr fitToPage="1"/>
  </sheetPr>
  <dimension ref="A1:AW35"/>
  <sheetViews>
    <sheetView workbookViewId="0">
      <selection activeCell="AM3" sqref="AM3:AN23"/>
    </sheetView>
  </sheetViews>
  <sheetFormatPr defaultColWidth="11" defaultRowHeight="15.75" x14ac:dyDescent="0.25"/>
  <cols>
    <col min="1" max="1" width="4.875" customWidth="1"/>
    <col min="2" max="2" width="2.875" customWidth="1"/>
    <col min="3" max="3" width="24.25" customWidth="1"/>
    <col min="4" max="4" width="5" style="81" customWidth="1"/>
    <col min="5" max="6" width="2.875" customWidth="1"/>
    <col min="7" max="7" width="23.125" customWidth="1"/>
    <col min="8" max="8" width="3.375" customWidth="1"/>
    <col min="9" max="10" width="2.875" customWidth="1"/>
    <col min="11" max="11" width="19.625" customWidth="1"/>
    <col min="12" max="12" width="4.875" customWidth="1"/>
    <col min="13" max="14" width="2.875" customWidth="1"/>
    <col min="15" max="15" width="27.625" customWidth="1"/>
    <col min="16" max="16" width="3" customWidth="1"/>
    <col min="17" max="18" width="2.875" customWidth="1"/>
    <col min="19" max="19" width="19" customWidth="1"/>
    <col min="20" max="20" width="3.75" customWidth="1"/>
    <col min="21" max="22" width="2.875" customWidth="1"/>
    <col min="23" max="23" width="17.75" customWidth="1"/>
    <col min="24" max="26" width="2.875" customWidth="1"/>
    <col min="27" max="27" width="25.5" customWidth="1"/>
    <col min="28" max="28" width="3.75" customWidth="1"/>
    <col min="29" max="30" width="2.875" customWidth="1"/>
    <col min="31" max="31" width="20.125" customWidth="1"/>
    <col min="32" max="34" width="2.875" customWidth="1"/>
    <col min="35" max="35" width="27.375" customWidth="1"/>
    <col min="36" max="36" width="4.25" customWidth="1"/>
    <col min="37" max="38" width="2.875" customWidth="1"/>
    <col min="39" max="39" width="23.5" customWidth="1"/>
    <col min="40" max="42" width="2.875" customWidth="1"/>
    <col min="43" max="43" width="29.75" customWidth="1"/>
    <col min="44" max="44" width="3.5" customWidth="1"/>
    <col min="45" max="46" width="2.875" customWidth="1"/>
    <col min="47" max="47" width="18.25" customWidth="1"/>
    <col min="48" max="48" width="3.75" customWidth="1"/>
    <col min="49" max="49" width="5.125" customWidth="1"/>
  </cols>
  <sheetData>
    <row r="1" spans="1:48" ht="30.75" thickBot="1" x14ac:dyDescent="0.45">
      <c r="A1" s="198" t="str">
        <f>"Årskalender for  Al Quds Skole  2024-2025"</f>
        <v>Årskalender for  Al Quds Skole  2024-2025</v>
      </c>
      <c r="B1" s="196"/>
      <c r="C1" s="194"/>
      <c r="D1" s="195"/>
      <c r="E1" s="194"/>
      <c r="F1" s="196"/>
      <c r="G1" s="194"/>
      <c r="H1" s="195"/>
      <c r="I1" s="194"/>
      <c r="J1" s="196"/>
      <c r="K1" s="194"/>
      <c r="L1" s="195"/>
      <c r="M1" s="194"/>
      <c r="N1" s="196"/>
      <c r="O1" s="194"/>
      <c r="P1" s="195"/>
      <c r="Q1" s="194"/>
      <c r="R1" s="196"/>
      <c r="S1" s="194"/>
      <c r="T1" s="195"/>
      <c r="U1" s="194"/>
      <c r="V1" s="196"/>
      <c r="W1" s="194"/>
      <c r="X1" s="195"/>
      <c r="Y1" s="194"/>
      <c r="Z1" s="196"/>
      <c r="AA1" s="194"/>
      <c r="AB1" s="195"/>
      <c r="AC1" s="194"/>
      <c r="AD1" s="196"/>
      <c r="AE1" s="194"/>
      <c r="AF1" s="195"/>
      <c r="AG1" s="194"/>
      <c r="AH1" s="196"/>
      <c r="AI1" s="194" t="s">
        <v>267</v>
      </c>
      <c r="AJ1" s="195"/>
      <c r="AK1" s="194"/>
      <c r="AL1" s="196"/>
      <c r="AM1" s="194"/>
      <c r="AN1" s="195"/>
      <c r="AO1" s="194"/>
      <c r="AP1" s="196"/>
      <c r="AQ1" s="194"/>
      <c r="AR1" s="195"/>
      <c r="AS1" s="194"/>
      <c r="AT1" s="196"/>
      <c r="AU1" s="194"/>
      <c r="AV1" s="197"/>
    </row>
    <row r="2" spans="1:48" ht="18" x14ac:dyDescent="0.25">
      <c r="A2" s="186" t="s">
        <v>46</v>
      </c>
      <c r="B2" s="187"/>
      <c r="C2" s="188"/>
      <c r="D2" s="189"/>
      <c r="E2" s="186" t="s">
        <v>47</v>
      </c>
      <c r="F2" s="187"/>
      <c r="G2" s="188"/>
      <c r="H2" s="189"/>
      <c r="I2" s="190" t="s">
        <v>48</v>
      </c>
      <c r="J2" s="187"/>
      <c r="K2" s="188"/>
      <c r="L2" s="189"/>
      <c r="M2" s="186" t="s">
        <v>49</v>
      </c>
      <c r="N2" s="187"/>
      <c r="O2" s="188"/>
      <c r="P2" s="189"/>
      <c r="Q2" s="186" t="s">
        <v>50</v>
      </c>
      <c r="R2" s="187"/>
      <c r="S2" s="188"/>
      <c r="T2" s="189"/>
      <c r="U2" s="186" t="s">
        <v>51</v>
      </c>
      <c r="V2" s="187"/>
      <c r="W2" s="188"/>
      <c r="X2" s="189"/>
      <c r="Y2" s="190" t="s">
        <v>54</v>
      </c>
      <c r="Z2" s="187"/>
      <c r="AA2" s="188"/>
      <c r="AB2" s="189"/>
      <c r="AC2" s="186" t="s">
        <v>55</v>
      </c>
      <c r="AD2" s="187"/>
      <c r="AE2" s="188"/>
      <c r="AF2" s="189"/>
      <c r="AG2" s="186" t="s">
        <v>56</v>
      </c>
      <c r="AH2" s="187"/>
      <c r="AI2" s="188"/>
      <c r="AJ2" s="189"/>
      <c r="AK2" s="186" t="s">
        <v>57</v>
      </c>
      <c r="AL2" s="187"/>
      <c r="AM2" s="188"/>
      <c r="AN2" s="189"/>
      <c r="AO2" s="186" t="s">
        <v>58</v>
      </c>
      <c r="AP2" s="187"/>
      <c r="AQ2" s="188"/>
      <c r="AR2" s="189"/>
      <c r="AS2" s="186" t="s">
        <v>59</v>
      </c>
      <c r="AT2" s="187"/>
      <c r="AU2" s="188"/>
      <c r="AV2" s="189"/>
    </row>
    <row r="3" spans="1:48" ht="26.25" x14ac:dyDescent="0.25">
      <c r="A3" s="147">
        <v>1</v>
      </c>
      <c r="B3" s="152" t="s">
        <v>94</v>
      </c>
      <c r="C3" s="153" t="s">
        <v>69</v>
      </c>
      <c r="D3" s="156"/>
      <c r="E3" s="129">
        <v>1</v>
      </c>
      <c r="F3" s="130" t="s">
        <v>97</v>
      </c>
      <c r="G3" s="131"/>
      <c r="H3" s="136" t="s">
        <v>88</v>
      </c>
      <c r="I3" s="125">
        <v>1</v>
      </c>
      <c r="J3" s="126" t="s">
        <v>95</v>
      </c>
      <c r="K3" s="221" t="s">
        <v>179</v>
      </c>
      <c r="L3" s="128" t="s">
        <v>88</v>
      </c>
      <c r="M3" s="125">
        <v>1</v>
      </c>
      <c r="N3" s="126" t="s">
        <v>96</v>
      </c>
      <c r="O3" s="178" t="s">
        <v>172</v>
      </c>
      <c r="P3" s="128" t="s">
        <v>88</v>
      </c>
      <c r="Q3" s="129">
        <v>1</v>
      </c>
      <c r="R3" s="130" t="s">
        <v>97</v>
      </c>
      <c r="S3" s="131"/>
      <c r="T3" s="132" t="s">
        <v>88</v>
      </c>
      <c r="U3" s="147">
        <v>1</v>
      </c>
      <c r="V3" s="157" t="s">
        <v>91</v>
      </c>
      <c r="W3" s="158" t="s">
        <v>87</v>
      </c>
      <c r="X3" s="159"/>
      <c r="Y3" s="129">
        <v>1</v>
      </c>
      <c r="Z3" s="130" t="s">
        <v>92</v>
      </c>
      <c r="AA3" s="131"/>
      <c r="AB3" s="136" t="s">
        <v>88</v>
      </c>
      <c r="AC3" s="129">
        <v>1</v>
      </c>
      <c r="AD3" s="130" t="s">
        <v>92</v>
      </c>
      <c r="AE3" s="219" t="s">
        <v>183</v>
      </c>
      <c r="AF3" s="132" t="s">
        <v>88</v>
      </c>
      <c r="AG3" s="125">
        <v>1</v>
      </c>
      <c r="AH3" s="126" t="s">
        <v>95</v>
      </c>
      <c r="AI3" s="226" t="s">
        <v>238</v>
      </c>
      <c r="AJ3" s="135"/>
      <c r="AK3" s="125">
        <v>1</v>
      </c>
      <c r="AL3" s="126" t="s">
        <v>94</v>
      </c>
      <c r="AM3" s="127"/>
      <c r="AN3" s="128"/>
      <c r="AO3" s="129">
        <v>1</v>
      </c>
      <c r="AP3" s="130" t="s">
        <v>97</v>
      </c>
      <c r="AQ3" s="131"/>
      <c r="AR3" s="136" t="s">
        <v>88</v>
      </c>
      <c r="AS3" s="147">
        <v>1</v>
      </c>
      <c r="AT3" s="148" t="s">
        <v>95</v>
      </c>
      <c r="AU3" s="149" t="s">
        <v>196</v>
      </c>
      <c r="AV3" s="150"/>
    </row>
    <row r="4" spans="1:48" x14ac:dyDescent="0.25">
      <c r="A4" s="147">
        <v>2</v>
      </c>
      <c r="B4" s="152" t="s">
        <v>96</v>
      </c>
      <c r="C4" s="153" t="s">
        <v>69</v>
      </c>
      <c r="D4" s="156" t="s">
        <v>88</v>
      </c>
      <c r="E4" s="125">
        <v>2</v>
      </c>
      <c r="F4" s="126" t="s">
        <v>93</v>
      </c>
      <c r="G4" s="178" t="s">
        <v>205</v>
      </c>
      <c r="H4" s="135">
        <v>36</v>
      </c>
      <c r="I4" s="125">
        <v>2</v>
      </c>
      <c r="J4" s="126" t="s">
        <v>91</v>
      </c>
      <c r="K4" s="222" t="s">
        <v>174</v>
      </c>
      <c r="L4" s="128"/>
      <c r="M4" s="129">
        <v>2</v>
      </c>
      <c r="N4" s="130" t="s">
        <v>92</v>
      </c>
      <c r="O4" s="131"/>
      <c r="P4" s="132" t="s">
        <v>88</v>
      </c>
      <c r="Q4" s="125">
        <v>2</v>
      </c>
      <c r="R4" s="126" t="s">
        <v>93</v>
      </c>
      <c r="S4" s="127" t="s">
        <v>240</v>
      </c>
      <c r="T4" s="128">
        <v>49</v>
      </c>
      <c r="U4" s="147">
        <v>2</v>
      </c>
      <c r="V4" s="148" t="s">
        <v>94</v>
      </c>
      <c r="W4" s="149" t="s">
        <v>196</v>
      </c>
      <c r="X4" s="150"/>
      <c r="Y4" s="129">
        <v>2</v>
      </c>
      <c r="Z4" s="130" t="s">
        <v>97</v>
      </c>
      <c r="AA4" s="131"/>
      <c r="AB4" s="136" t="s">
        <v>88</v>
      </c>
      <c r="AC4" s="129">
        <v>2</v>
      </c>
      <c r="AD4" s="130" t="s">
        <v>97</v>
      </c>
      <c r="AE4" s="131"/>
      <c r="AF4" s="132" t="s">
        <v>88</v>
      </c>
      <c r="AG4" s="125">
        <v>2</v>
      </c>
      <c r="AH4" s="126" t="s">
        <v>91</v>
      </c>
      <c r="AI4" s="222" t="s">
        <v>176</v>
      </c>
      <c r="AJ4" s="135" t="s">
        <v>88</v>
      </c>
      <c r="AK4" s="125">
        <v>2</v>
      </c>
      <c r="AL4" s="126" t="s">
        <v>96</v>
      </c>
      <c r="AM4" s="219" t="s">
        <v>291</v>
      </c>
      <c r="AN4" s="128" t="s">
        <v>88</v>
      </c>
      <c r="AO4" s="125">
        <v>2</v>
      </c>
      <c r="AP4" s="126" t="s">
        <v>93</v>
      </c>
      <c r="AQ4" s="127" t="s">
        <v>254</v>
      </c>
      <c r="AR4" s="135">
        <v>23</v>
      </c>
      <c r="AS4" s="147">
        <v>2</v>
      </c>
      <c r="AT4" s="148" t="s">
        <v>91</v>
      </c>
      <c r="AU4" s="149" t="s">
        <v>196</v>
      </c>
      <c r="AV4" s="150" t="s">
        <v>88</v>
      </c>
    </row>
    <row r="5" spans="1:48" ht="39" x14ac:dyDescent="0.25">
      <c r="A5" s="129">
        <v>3</v>
      </c>
      <c r="B5" s="130" t="s">
        <v>92</v>
      </c>
      <c r="C5" s="131"/>
      <c r="D5" s="144" t="s">
        <v>88</v>
      </c>
      <c r="E5" s="125">
        <v>3</v>
      </c>
      <c r="F5" s="126" t="s">
        <v>95</v>
      </c>
      <c r="G5" s="218" t="s">
        <v>239</v>
      </c>
      <c r="H5" s="135" t="s">
        <v>88</v>
      </c>
      <c r="I5" s="125">
        <v>3</v>
      </c>
      <c r="J5" s="126" t="s">
        <v>94</v>
      </c>
      <c r="K5" s="127"/>
      <c r="L5" s="128"/>
      <c r="M5" s="129">
        <v>3</v>
      </c>
      <c r="N5" s="130" t="s">
        <v>97</v>
      </c>
      <c r="O5" s="131"/>
      <c r="P5" s="132" t="s">
        <v>88</v>
      </c>
      <c r="Q5" s="125">
        <v>3</v>
      </c>
      <c r="R5" s="126" t="s">
        <v>95</v>
      </c>
      <c r="S5" s="127" t="s">
        <v>222</v>
      </c>
      <c r="T5" s="128" t="s">
        <v>88</v>
      </c>
      <c r="U5" s="147">
        <v>3</v>
      </c>
      <c r="V5" s="148" t="s">
        <v>96</v>
      </c>
      <c r="W5" s="149" t="s">
        <v>196</v>
      </c>
      <c r="X5" s="150" t="s">
        <v>88</v>
      </c>
      <c r="Y5" s="125">
        <v>3</v>
      </c>
      <c r="Z5" s="126" t="s">
        <v>93</v>
      </c>
      <c r="AA5" s="220" t="s">
        <v>207</v>
      </c>
      <c r="AB5" s="135">
        <v>6</v>
      </c>
      <c r="AC5" s="125">
        <v>3</v>
      </c>
      <c r="AD5" s="126" t="s">
        <v>93</v>
      </c>
      <c r="AE5" s="127"/>
      <c r="AF5" s="128">
        <v>10</v>
      </c>
      <c r="AG5" s="125">
        <v>3</v>
      </c>
      <c r="AH5" s="126" t="s">
        <v>94</v>
      </c>
      <c r="AI5" s="127" t="s">
        <v>229</v>
      </c>
      <c r="AJ5" s="135"/>
      <c r="AK5" s="129">
        <v>3</v>
      </c>
      <c r="AL5" s="130" t="s">
        <v>92</v>
      </c>
      <c r="AM5" s="131"/>
      <c r="AN5" s="132" t="s">
        <v>88</v>
      </c>
      <c r="AO5" s="125">
        <v>3</v>
      </c>
      <c r="AP5" s="126" t="s">
        <v>95</v>
      </c>
      <c r="AQ5" s="127"/>
      <c r="AR5" s="135"/>
      <c r="AS5" s="147">
        <v>3</v>
      </c>
      <c r="AT5" s="148" t="s">
        <v>94</v>
      </c>
      <c r="AU5" s="149" t="s">
        <v>196</v>
      </c>
      <c r="AV5" s="150"/>
    </row>
    <row r="6" spans="1:48" ht="26.25" x14ac:dyDescent="0.25">
      <c r="A6" s="129">
        <v>4</v>
      </c>
      <c r="B6" s="130" t="s">
        <v>97</v>
      </c>
      <c r="C6" s="131"/>
      <c r="D6" s="144" t="s">
        <v>88</v>
      </c>
      <c r="E6" s="125">
        <v>4</v>
      </c>
      <c r="F6" s="126" t="s">
        <v>91</v>
      </c>
      <c r="G6" s="218" t="s">
        <v>221</v>
      </c>
      <c r="H6" s="135"/>
      <c r="I6" s="125">
        <v>4</v>
      </c>
      <c r="J6" s="126" t="s">
        <v>96</v>
      </c>
      <c r="K6" s="127"/>
      <c r="L6" s="128" t="s">
        <v>88</v>
      </c>
      <c r="M6" s="125">
        <v>4</v>
      </c>
      <c r="N6" s="126" t="s">
        <v>93</v>
      </c>
      <c r="O6" s="127"/>
      <c r="P6" s="128">
        <v>45</v>
      </c>
      <c r="Q6" s="125">
        <v>4</v>
      </c>
      <c r="R6" s="126" t="s">
        <v>91</v>
      </c>
      <c r="S6" s="222" t="s">
        <v>186</v>
      </c>
      <c r="T6" s="128"/>
      <c r="U6" s="129">
        <v>4</v>
      </c>
      <c r="V6" s="130" t="s">
        <v>92</v>
      </c>
      <c r="W6" s="131"/>
      <c r="X6" s="132" t="s">
        <v>88</v>
      </c>
      <c r="Y6" s="125">
        <v>4</v>
      </c>
      <c r="Z6" s="126" t="s">
        <v>95</v>
      </c>
      <c r="AA6" s="220" t="s">
        <v>207</v>
      </c>
      <c r="AB6" s="135" t="s">
        <v>88</v>
      </c>
      <c r="AC6" s="125">
        <v>4</v>
      </c>
      <c r="AD6" s="126" t="s">
        <v>95</v>
      </c>
      <c r="AE6" s="127"/>
      <c r="AF6" s="128"/>
      <c r="AG6" s="125">
        <v>4</v>
      </c>
      <c r="AH6" s="126" t="s">
        <v>96</v>
      </c>
      <c r="AI6" s="127"/>
      <c r="AJ6" s="135" t="s">
        <v>88</v>
      </c>
      <c r="AK6" s="129">
        <v>4</v>
      </c>
      <c r="AL6" s="130" t="s">
        <v>97</v>
      </c>
      <c r="AM6" s="131"/>
      <c r="AN6" s="132" t="s">
        <v>88</v>
      </c>
      <c r="AO6" s="125">
        <v>4</v>
      </c>
      <c r="AP6" s="126" t="s">
        <v>91</v>
      </c>
      <c r="AQ6" s="222" t="s">
        <v>258</v>
      </c>
      <c r="AR6" s="135" t="s">
        <v>88</v>
      </c>
      <c r="AS6" s="147">
        <v>4</v>
      </c>
      <c r="AT6" s="148" t="s">
        <v>96</v>
      </c>
      <c r="AU6" s="149" t="s">
        <v>196</v>
      </c>
      <c r="AV6" s="150" t="s">
        <v>88</v>
      </c>
    </row>
    <row r="7" spans="1:48" ht="51.75" x14ac:dyDescent="0.25">
      <c r="A7" s="147">
        <v>5</v>
      </c>
      <c r="B7" s="215" t="s">
        <v>93</v>
      </c>
      <c r="C7" s="216" t="s">
        <v>160</v>
      </c>
      <c r="D7" s="217">
        <v>32</v>
      </c>
      <c r="E7" s="125">
        <v>5</v>
      </c>
      <c r="F7" s="126" t="s">
        <v>94</v>
      </c>
      <c r="G7" s="178" t="s">
        <v>284</v>
      </c>
      <c r="H7" s="135"/>
      <c r="I7" s="129">
        <v>5</v>
      </c>
      <c r="J7" s="130" t="s">
        <v>92</v>
      </c>
      <c r="K7" s="131" t="s">
        <v>171</v>
      </c>
      <c r="L7" s="132" t="s">
        <v>88</v>
      </c>
      <c r="M7" s="125">
        <v>5</v>
      </c>
      <c r="N7" s="126" t="s">
        <v>95</v>
      </c>
      <c r="O7" s="226" t="s">
        <v>255</v>
      </c>
      <c r="P7" s="128" t="s">
        <v>88</v>
      </c>
      <c r="Q7" s="125">
        <v>5</v>
      </c>
      <c r="R7" s="126" t="s">
        <v>94</v>
      </c>
      <c r="S7" s="127"/>
      <c r="T7" s="128"/>
      <c r="U7" s="129">
        <v>5</v>
      </c>
      <c r="V7" s="130" t="s">
        <v>97</v>
      </c>
      <c r="W7" s="131"/>
      <c r="X7" s="132" t="s">
        <v>88</v>
      </c>
      <c r="Y7" s="125">
        <v>5</v>
      </c>
      <c r="Z7" s="126" t="s">
        <v>91</v>
      </c>
      <c r="AA7" s="220" t="s">
        <v>189</v>
      </c>
      <c r="AB7" s="135"/>
      <c r="AC7" s="125">
        <v>5</v>
      </c>
      <c r="AD7" s="126" t="s">
        <v>91</v>
      </c>
      <c r="AE7" s="127" t="s">
        <v>213</v>
      </c>
      <c r="AF7" s="128" t="s">
        <v>88</v>
      </c>
      <c r="AG7" s="129">
        <v>5</v>
      </c>
      <c r="AH7" s="130" t="s">
        <v>92</v>
      </c>
      <c r="AI7" s="131"/>
      <c r="AJ7" s="136" t="s">
        <v>88</v>
      </c>
      <c r="AK7" s="125">
        <v>5</v>
      </c>
      <c r="AL7" s="126" t="s">
        <v>93</v>
      </c>
      <c r="AM7" s="226" t="s">
        <v>290</v>
      </c>
      <c r="AN7" s="128">
        <v>19</v>
      </c>
      <c r="AO7" s="125">
        <v>5</v>
      </c>
      <c r="AP7" s="126" t="s">
        <v>94</v>
      </c>
      <c r="AQ7" s="149" t="s">
        <v>169</v>
      </c>
      <c r="AR7" s="135"/>
      <c r="AS7" s="129">
        <v>5</v>
      </c>
      <c r="AT7" s="130" t="s">
        <v>92</v>
      </c>
      <c r="AU7" s="131"/>
      <c r="AV7" s="132" t="s">
        <v>88</v>
      </c>
    </row>
    <row r="8" spans="1:48" x14ac:dyDescent="0.25">
      <c r="A8" s="147">
        <v>6</v>
      </c>
      <c r="B8" s="215" t="s">
        <v>95</v>
      </c>
      <c r="C8" s="216" t="s">
        <v>160</v>
      </c>
      <c r="D8" s="217" t="s">
        <v>88</v>
      </c>
      <c r="E8" s="125">
        <v>6</v>
      </c>
      <c r="F8" s="126" t="s">
        <v>96</v>
      </c>
      <c r="G8" s="178" t="s">
        <v>284</v>
      </c>
      <c r="H8" s="135" t="s">
        <v>88</v>
      </c>
      <c r="I8" s="129">
        <v>6</v>
      </c>
      <c r="J8" s="130" t="s">
        <v>97</v>
      </c>
      <c r="K8" s="131"/>
      <c r="L8" s="132" t="s">
        <v>88</v>
      </c>
      <c r="M8" s="125">
        <v>6</v>
      </c>
      <c r="N8" s="126" t="s">
        <v>91</v>
      </c>
      <c r="O8" s="222" t="s">
        <v>186</v>
      </c>
      <c r="P8" s="128"/>
      <c r="Q8" s="125">
        <v>6</v>
      </c>
      <c r="R8" s="126" t="s">
        <v>96</v>
      </c>
      <c r="S8" s="127"/>
      <c r="T8" s="128" t="s">
        <v>88</v>
      </c>
      <c r="U8" s="125">
        <v>6</v>
      </c>
      <c r="V8" s="126" t="s">
        <v>93</v>
      </c>
      <c r="W8" s="178" t="s">
        <v>200</v>
      </c>
      <c r="X8" s="128">
        <v>2</v>
      </c>
      <c r="Y8" s="125">
        <v>6</v>
      </c>
      <c r="Z8" s="126" t="s">
        <v>94</v>
      </c>
      <c r="AA8" s="220" t="s">
        <v>207</v>
      </c>
      <c r="AB8" s="135"/>
      <c r="AC8" s="125">
        <v>6</v>
      </c>
      <c r="AD8" s="126" t="s">
        <v>94</v>
      </c>
      <c r="AE8" s="127"/>
      <c r="AF8" s="128"/>
      <c r="AG8" s="129">
        <v>6</v>
      </c>
      <c r="AH8" s="130" t="s">
        <v>97</v>
      </c>
      <c r="AI8" s="131"/>
      <c r="AJ8" s="136" t="s">
        <v>88</v>
      </c>
      <c r="AK8" s="125">
        <v>6</v>
      </c>
      <c r="AL8" s="126" t="s">
        <v>95</v>
      </c>
      <c r="AM8" s="127" t="s">
        <v>292</v>
      </c>
      <c r="AN8" s="128"/>
      <c r="AO8" s="125">
        <v>6</v>
      </c>
      <c r="AP8" s="126" t="s">
        <v>96</v>
      </c>
      <c r="AQ8" s="149" t="s">
        <v>203</v>
      </c>
      <c r="AR8" s="135" t="s">
        <v>88</v>
      </c>
      <c r="AS8" s="129">
        <v>6</v>
      </c>
      <c r="AT8" s="130" t="s">
        <v>97</v>
      </c>
      <c r="AU8" s="131"/>
      <c r="AV8" s="132" t="s">
        <v>88</v>
      </c>
    </row>
    <row r="9" spans="1:48" ht="26.25" x14ac:dyDescent="0.25">
      <c r="A9" s="147">
        <v>7</v>
      </c>
      <c r="B9" s="215" t="s">
        <v>91</v>
      </c>
      <c r="C9" s="216" t="s">
        <v>160</v>
      </c>
      <c r="D9" s="217"/>
      <c r="E9" s="129">
        <v>7</v>
      </c>
      <c r="F9" s="130" t="s">
        <v>92</v>
      </c>
      <c r="G9" s="131"/>
      <c r="H9" s="136" t="s">
        <v>88</v>
      </c>
      <c r="I9" s="125">
        <v>7</v>
      </c>
      <c r="J9" s="126" t="s">
        <v>93</v>
      </c>
      <c r="K9" s="127"/>
      <c r="L9" s="128">
        <v>41</v>
      </c>
      <c r="M9" s="125">
        <v>7</v>
      </c>
      <c r="N9" s="126" t="s">
        <v>94</v>
      </c>
      <c r="O9" s="127"/>
      <c r="P9" s="128"/>
      <c r="Q9" s="129">
        <v>7</v>
      </c>
      <c r="R9" s="130" t="s">
        <v>92</v>
      </c>
      <c r="S9" s="131"/>
      <c r="T9" s="132" t="s">
        <v>88</v>
      </c>
      <c r="U9" s="125">
        <v>7</v>
      </c>
      <c r="V9" s="126" t="s">
        <v>95</v>
      </c>
      <c r="W9" s="178" t="s">
        <v>200</v>
      </c>
      <c r="X9" s="128" t="s">
        <v>88</v>
      </c>
      <c r="Y9" s="125">
        <v>7</v>
      </c>
      <c r="Z9" s="126" t="s">
        <v>96</v>
      </c>
      <c r="AA9" s="220" t="s">
        <v>207</v>
      </c>
      <c r="AB9" s="135" t="s">
        <v>88</v>
      </c>
      <c r="AC9" s="125">
        <v>7</v>
      </c>
      <c r="AD9" s="126" t="s">
        <v>96</v>
      </c>
      <c r="AE9" s="127"/>
      <c r="AF9" s="128" t="s">
        <v>88</v>
      </c>
      <c r="AG9" s="125">
        <v>7</v>
      </c>
      <c r="AH9" s="126" t="s">
        <v>93</v>
      </c>
      <c r="AI9" s="127" t="s">
        <v>256</v>
      </c>
      <c r="AJ9" s="135">
        <v>15</v>
      </c>
      <c r="AK9" s="125">
        <v>7</v>
      </c>
      <c r="AL9" s="126" t="s">
        <v>91</v>
      </c>
      <c r="AM9" s="223" t="s">
        <v>293</v>
      </c>
      <c r="AN9" s="128" t="s">
        <v>88</v>
      </c>
      <c r="AO9" s="129">
        <v>7</v>
      </c>
      <c r="AP9" s="130" t="s">
        <v>92</v>
      </c>
      <c r="AQ9" s="131" t="s">
        <v>173</v>
      </c>
      <c r="AR9" s="136" t="s">
        <v>88</v>
      </c>
      <c r="AS9" s="147">
        <v>7</v>
      </c>
      <c r="AT9" s="152" t="s">
        <v>93</v>
      </c>
      <c r="AU9" s="153" t="s">
        <v>69</v>
      </c>
      <c r="AV9" s="154">
        <v>28</v>
      </c>
    </row>
    <row r="10" spans="1:48" ht="26.25" x14ac:dyDescent="0.25">
      <c r="A10" s="125">
        <v>8</v>
      </c>
      <c r="B10" s="126" t="s">
        <v>94</v>
      </c>
      <c r="C10" s="127" t="s">
        <v>232</v>
      </c>
      <c r="D10" s="138"/>
      <c r="E10" s="129">
        <v>8</v>
      </c>
      <c r="F10" s="130" t="s">
        <v>97</v>
      </c>
      <c r="G10" s="131"/>
      <c r="H10" s="136" t="s">
        <v>88</v>
      </c>
      <c r="I10" s="125">
        <v>8</v>
      </c>
      <c r="J10" s="126" t="s">
        <v>95</v>
      </c>
      <c r="K10" s="226" t="s">
        <v>235</v>
      </c>
      <c r="L10" s="128" t="s">
        <v>88</v>
      </c>
      <c r="M10" s="125">
        <v>8</v>
      </c>
      <c r="N10" s="126" t="s">
        <v>96</v>
      </c>
      <c r="O10" s="127"/>
      <c r="P10" s="128" t="s">
        <v>88</v>
      </c>
      <c r="Q10" s="129">
        <v>8</v>
      </c>
      <c r="R10" s="130" t="s">
        <v>97</v>
      </c>
      <c r="S10" s="131"/>
      <c r="T10" s="132" t="s">
        <v>88</v>
      </c>
      <c r="U10" s="125">
        <v>8</v>
      </c>
      <c r="V10" s="126" t="s">
        <v>91</v>
      </c>
      <c r="W10" s="222" t="s">
        <v>201</v>
      </c>
      <c r="X10" s="128"/>
      <c r="Y10" s="129">
        <v>8</v>
      </c>
      <c r="Z10" s="130" t="s">
        <v>92</v>
      </c>
      <c r="AA10" s="131"/>
      <c r="AB10" s="136" t="s">
        <v>88</v>
      </c>
      <c r="AC10" s="129">
        <v>8</v>
      </c>
      <c r="AD10" s="130" t="s">
        <v>92</v>
      </c>
      <c r="AE10" s="131"/>
      <c r="AF10" s="132" t="s">
        <v>88</v>
      </c>
      <c r="AG10" s="125">
        <v>8</v>
      </c>
      <c r="AH10" s="126" t="s">
        <v>95</v>
      </c>
      <c r="AI10" s="127" t="s">
        <v>252</v>
      </c>
      <c r="AJ10" s="135"/>
      <c r="AK10" s="125">
        <v>8</v>
      </c>
      <c r="AL10" s="126" t="s">
        <v>94</v>
      </c>
      <c r="AM10" s="127" t="s">
        <v>294</v>
      </c>
      <c r="AN10" s="128"/>
      <c r="AO10" s="129">
        <v>8</v>
      </c>
      <c r="AP10" s="130" t="s">
        <v>97</v>
      </c>
      <c r="AQ10" s="131" t="s">
        <v>106</v>
      </c>
      <c r="AR10" s="136" t="s">
        <v>88</v>
      </c>
      <c r="AS10" s="147">
        <v>8</v>
      </c>
      <c r="AT10" s="152" t="s">
        <v>95</v>
      </c>
      <c r="AU10" s="153" t="s">
        <v>69</v>
      </c>
      <c r="AV10" s="154"/>
    </row>
    <row r="11" spans="1:48" x14ac:dyDescent="0.25">
      <c r="A11" s="125">
        <v>9</v>
      </c>
      <c r="B11" s="126" t="s">
        <v>96</v>
      </c>
      <c r="C11" s="127" t="s">
        <v>233</v>
      </c>
      <c r="D11" s="138" t="s">
        <v>88</v>
      </c>
      <c r="E11" s="125">
        <v>9</v>
      </c>
      <c r="F11" s="126" t="s">
        <v>93</v>
      </c>
      <c r="G11" s="127"/>
      <c r="H11" s="135">
        <v>37</v>
      </c>
      <c r="I11" s="125">
        <v>9</v>
      </c>
      <c r="J11" s="126" t="s">
        <v>91</v>
      </c>
      <c r="K11" s="222" t="s">
        <v>175</v>
      </c>
      <c r="L11" s="128"/>
      <c r="M11" s="129">
        <v>9</v>
      </c>
      <c r="N11" s="130" t="s">
        <v>92</v>
      </c>
      <c r="O11" s="131"/>
      <c r="P11" s="132" t="s">
        <v>88</v>
      </c>
      <c r="Q11" s="125">
        <v>9</v>
      </c>
      <c r="R11" s="126" t="s">
        <v>93</v>
      </c>
      <c r="S11" s="127"/>
      <c r="T11" s="128">
        <v>50</v>
      </c>
      <c r="U11" s="125">
        <v>9</v>
      </c>
      <c r="V11" s="126" t="s">
        <v>94</v>
      </c>
      <c r="W11" s="178" t="s">
        <v>200</v>
      </c>
      <c r="X11" s="128"/>
      <c r="Y11" s="129">
        <v>9</v>
      </c>
      <c r="Z11" s="130" t="s">
        <v>97</v>
      </c>
      <c r="AA11" s="131"/>
      <c r="AB11" s="136" t="s">
        <v>88</v>
      </c>
      <c r="AC11" s="129">
        <v>9</v>
      </c>
      <c r="AD11" s="130" t="s">
        <v>97</v>
      </c>
      <c r="AE11" s="131"/>
      <c r="AF11" s="132" t="s">
        <v>88</v>
      </c>
      <c r="AG11" s="125">
        <v>9</v>
      </c>
      <c r="AH11" s="126" t="s">
        <v>91</v>
      </c>
      <c r="AI11" s="219" t="s">
        <v>273</v>
      </c>
      <c r="AJ11" s="135" t="s">
        <v>88</v>
      </c>
      <c r="AK11" s="125">
        <v>9</v>
      </c>
      <c r="AL11" s="126" t="s">
        <v>96</v>
      </c>
      <c r="AM11" s="145" t="s">
        <v>295</v>
      </c>
      <c r="AN11" s="128" t="s">
        <v>88</v>
      </c>
      <c r="AO11" s="147">
        <v>9</v>
      </c>
      <c r="AP11" s="157" t="s">
        <v>93</v>
      </c>
      <c r="AQ11" s="158" t="s">
        <v>103</v>
      </c>
      <c r="AR11" s="160">
        <v>24</v>
      </c>
      <c r="AS11" s="147">
        <v>9</v>
      </c>
      <c r="AT11" s="152" t="s">
        <v>91</v>
      </c>
      <c r="AU11" s="153" t="s">
        <v>69</v>
      </c>
      <c r="AV11" s="154" t="s">
        <v>88</v>
      </c>
    </row>
    <row r="12" spans="1:48" ht="26.25" x14ac:dyDescent="0.25">
      <c r="A12" s="129">
        <v>10</v>
      </c>
      <c r="B12" s="130" t="s">
        <v>92</v>
      </c>
      <c r="C12" s="131"/>
      <c r="D12" s="144" t="s">
        <v>88</v>
      </c>
      <c r="E12" s="125">
        <v>10</v>
      </c>
      <c r="F12" s="126" t="s">
        <v>95</v>
      </c>
      <c r="G12" s="127"/>
      <c r="H12" s="135" t="s">
        <v>88</v>
      </c>
      <c r="I12" s="125">
        <v>10</v>
      </c>
      <c r="J12" s="126" t="s">
        <v>94</v>
      </c>
      <c r="K12" s="127"/>
      <c r="L12" s="128"/>
      <c r="M12" s="129">
        <v>10</v>
      </c>
      <c r="N12" s="130" t="s">
        <v>97</v>
      </c>
      <c r="O12" s="131"/>
      <c r="P12" s="132" t="s">
        <v>88</v>
      </c>
      <c r="Q12" s="125">
        <v>10</v>
      </c>
      <c r="R12" s="126" t="s">
        <v>95</v>
      </c>
      <c r="S12" s="127" t="s">
        <v>245</v>
      </c>
      <c r="T12" s="128" t="s">
        <v>88</v>
      </c>
      <c r="U12" s="125">
        <v>10</v>
      </c>
      <c r="V12" s="126" t="s">
        <v>96</v>
      </c>
      <c r="W12" s="178" t="s">
        <v>200</v>
      </c>
      <c r="X12" s="128" t="s">
        <v>88</v>
      </c>
      <c r="Y12" s="147">
        <v>10</v>
      </c>
      <c r="Z12" s="148" t="s">
        <v>93</v>
      </c>
      <c r="AA12" s="218" t="s">
        <v>231</v>
      </c>
      <c r="AB12" s="151">
        <v>7</v>
      </c>
      <c r="AC12" s="125">
        <v>10</v>
      </c>
      <c r="AD12" s="126" t="s">
        <v>93</v>
      </c>
      <c r="AE12" s="127"/>
      <c r="AF12" s="128">
        <v>11</v>
      </c>
      <c r="AG12" s="125">
        <v>10</v>
      </c>
      <c r="AH12" s="126" t="s">
        <v>94</v>
      </c>
      <c r="AI12" s="127"/>
      <c r="AJ12" s="135"/>
      <c r="AK12" s="129">
        <v>10</v>
      </c>
      <c r="AL12" s="130" t="s">
        <v>92</v>
      </c>
      <c r="AM12" s="131"/>
      <c r="AN12" s="132" t="s">
        <v>88</v>
      </c>
      <c r="AO12" s="125">
        <v>10</v>
      </c>
      <c r="AP12" s="126" t="s">
        <v>95</v>
      </c>
      <c r="AQ12" s="127"/>
      <c r="AR12" s="135"/>
      <c r="AS12" s="147">
        <v>10</v>
      </c>
      <c r="AT12" s="152" t="s">
        <v>94</v>
      </c>
      <c r="AU12" s="153" t="s">
        <v>69</v>
      </c>
      <c r="AV12" s="154"/>
    </row>
    <row r="13" spans="1:48" ht="26.25" x14ac:dyDescent="0.25">
      <c r="A13" s="129">
        <v>11</v>
      </c>
      <c r="B13" s="130" t="s">
        <v>97</v>
      </c>
      <c r="C13" s="131"/>
      <c r="D13" s="144" t="s">
        <v>88</v>
      </c>
      <c r="E13" s="125">
        <v>11</v>
      </c>
      <c r="F13" s="126" t="s">
        <v>91</v>
      </c>
      <c r="G13" s="222" t="s">
        <v>176</v>
      </c>
      <c r="H13" s="135"/>
      <c r="I13" s="125">
        <v>11</v>
      </c>
      <c r="J13" s="126" t="s">
        <v>96</v>
      </c>
      <c r="K13" s="218" t="s">
        <v>215</v>
      </c>
      <c r="L13" s="128" t="s">
        <v>88</v>
      </c>
      <c r="M13" s="125">
        <v>11</v>
      </c>
      <c r="N13" s="126" t="s">
        <v>93</v>
      </c>
      <c r="O13" s="127" t="s">
        <v>224</v>
      </c>
      <c r="P13" s="128">
        <v>46</v>
      </c>
      <c r="Q13" s="125">
        <v>11</v>
      </c>
      <c r="R13" s="126" t="s">
        <v>91</v>
      </c>
      <c r="S13" s="222" t="s">
        <v>187</v>
      </c>
      <c r="T13" s="128"/>
      <c r="U13" s="129">
        <v>11</v>
      </c>
      <c r="V13" s="130" t="s">
        <v>92</v>
      </c>
      <c r="W13" s="131"/>
      <c r="X13" s="132" t="s">
        <v>88</v>
      </c>
      <c r="Y13" s="147">
        <v>11</v>
      </c>
      <c r="Z13" s="148" t="s">
        <v>95</v>
      </c>
      <c r="AA13" s="218" t="s">
        <v>231</v>
      </c>
      <c r="AB13" s="151" t="s">
        <v>88</v>
      </c>
      <c r="AC13" s="125">
        <v>11</v>
      </c>
      <c r="AD13" s="126" t="s">
        <v>95</v>
      </c>
      <c r="AE13" s="127"/>
      <c r="AF13" s="128"/>
      <c r="AG13" s="125">
        <v>11</v>
      </c>
      <c r="AH13" s="126" t="s">
        <v>96</v>
      </c>
      <c r="AI13" s="127"/>
      <c r="AJ13" s="135" t="s">
        <v>88</v>
      </c>
      <c r="AK13" s="129">
        <v>11</v>
      </c>
      <c r="AL13" s="130" t="s">
        <v>97</v>
      </c>
      <c r="AM13" s="131"/>
      <c r="AN13" s="132" t="s">
        <v>88</v>
      </c>
      <c r="AO13" s="125">
        <v>11</v>
      </c>
      <c r="AP13" s="126" t="s">
        <v>91</v>
      </c>
      <c r="AQ13" s="222" t="s">
        <v>175</v>
      </c>
      <c r="AR13" s="135" t="s">
        <v>88</v>
      </c>
      <c r="AS13" s="147">
        <v>11</v>
      </c>
      <c r="AT13" s="152" t="s">
        <v>96</v>
      </c>
      <c r="AU13" s="153" t="s">
        <v>69</v>
      </c>
      <c r="AV13" s="154" t="s">
        <v>88</v>
      </c>
    </row>
    <row r="14" spans="1:48" ht="26.25" x14ac:dyDescent="0.25">
      <c r="A14" s="125">
        <v>12</v>
      </c>
      <c r="B14" s="126" t="s">
        <v>93</v>
      </c>
      <c r="C14" s="127"/>
      <c r="D14" s="140">
        <v>33</v>
      </c>
      <c r="E14" s="125">
        <v>12</v>
      </c>
      <c r="F14" s="126" t="s">
        <v>94</v>
      </c>
      <c r="G14" s="127"/>
      <c r="H14" s="135"/>
      <c r="I14" s="129">
        <v>12</v>
      </c>
      <c r="J14" s="130" t="s">
        <v>92</v>
      </c>
      <c r="K14" s="131"/>
      <c r="L14" s="132" t="s">
        <v>88</v>
      </c>
      <c r="M14" s="125">
        <v>12</v>
      </c>
      <c r="N14" s="126" t="s">
        <v>95</v>
      </c>
      <c r="O14" s="127"/>
      <c r="P14" s="128" t="s">
        <v>88</v>
      </c>
      <c r="Q14" s="125">
        <v>12</v>
      </c>
      <c r="R14" s="126" t="s">
        <v>94</v>
      </c>
      <c r="S14" s="127"/>
      <c r="T14" s="128"/>
      <c r="U14" s="129">
        <v>12</v>
      </c>
      <c r="V14" s="130" t="s">
        <v>97</v>
      </c>
      <c r="W14" s="131"/>
      <c r="X14" s="132" t="s">
        <v>88</v>
      </c>
      <c r="Y14" s="147">
        <v>12</v>
      </c>
      <c r="Z14" s="148" t="s">
        <v>91</v>
      </c>
      <c r="AA14" s="218" t="s">
        <v>231</v>
      </c>
      <c r="AB14" s="151"/>
      <c r="AC14" s="125">
        <v>12</v>
      </c>
      <c r="AD14" s="126" t="s">
        <v>91</v>
      </c>
      <c r="AE14" s="222" t="s">
        <v>212</v>
      </c>
      <c r="AF14" s="128" t="s">
        <v>88</v>
      </c>
      <c r="AG14" s="129">
        <v>12</v>
      </c>
      <c r="AH14" s="130" t="s">
        <v>92</v>
      </c>
      <c r="AI14" s="131"/>
      <c r="AJ14" s="136" t="s">
        <v>88</v>
      </c>
      <c r="AK14" s="125">
        <v>12</v>
      </c>
      <c r="AL14" s="126" t="s">
        <v>93</v>
      </c>
      <c r="AM14" s="127"/>
      <c r="AN14" s="128">
        <v>20</v>
      </c>
      <c r="AO14" s="125">
        <v>12</v>
      </c>
      <c r="AP14" s="126" t="s">
        <v>94</v>
      </c>
      <c r="AQ14" s="127"/>
      <c r="AR14" s="135"/>
      <c r="AS14" s="129">
        <v>12</v>
      </c>
      <c r="AT14" s="130" t="s">
        <v>92</v>
      </c>
      <c r="AU14" s="131"/>
      <c r="AV14" s="132" t="s">
        <v>88</v>
      </c>
    </row>
    <row r="15" spans="1:48" ht="26.25" x14ac:dyDescent="0.25">
      <c r="A15" s="125">
        <v>13</v>
      </c>
      <c r="B15" s="126" t="s">
        <v>95</v>
      </c>
      <c r="C15" s="127" t="s">
        <v>234</v>
      </c>
      <c r="D15" s="140" t="s">
        <v>88</v>
      </c>
      <c r="E15" s="125">
        <v>13</v>
      </c>
      <c r="F15" s="126" t="s">
        <v>96</v>
      </c>
      <c r="G15" s="127"/>
      <c r="H15" s="135" t="s">
        <v>88</v>
      </c>
      <c r="I15" s="129">
        <v>13</v>
      </c>
      <c r="J15" s="130" t="s">
        <v>97</v>
      </c>
      <c r="K15" s="131"/>
      <c r="L15" s="132" t="s">
        <v>88</v>
      </c>
      <c r="M15" s="125">
        <v>13</v>
      </c>
      <c r="N15" s="126" t="s">
        <v>91</v>
      </c>
      <c r="O15" s="222" t="s">
        <v>175</v>
      </c>
      <c r="P15" s="128"/>
      <c r="Q15" s="125">
        <v>13</v>
      </c>
      <c r="R15" s="126" t="s">
        <v>96</v>
      </c>
      <c r="S15" s="127"/>
      <c r="T15" s="128" t="s">
        <v>88</v>
      </c>
      <c r="U15" s="125">
        <v>13</v>
      </c>
      <c r="V15" s="126" t="s">
        <v>93</v>
      </c>
      <c r="W15" s="178" t="s">
        <v>200</v>
      </c>
      <c r="X15" s="128">
        <v>3</v>
      </c>
      <c r="Y15" s="147">
        <v>13</v>
      </c>
      <c r="Z15" s="148" t="s">
        <v>94</v>
      </c>
      <c r="AA15" s="218" t="s">
        <v>231</v>
      </c>
      <c r="AB15" s="151"/>
      <c r="AC15" s="125">
        <v>13</v>
      </c>
      <c r="AD15" s="126" t="s">
        <v>94</v>
      </c>
      <c r="AE15" s="127"/>
      <c r="AF15" s="128"/>
      <c r="AG15" s="129">
        <v>13</v>
      </c>
      <c r="AH15" s="130" t="s">
        <v>97</v>
      </c>
      <c r="AI15" s="131" t="s">
        <v>105</v>
      </c>
      <c r="AJ15" s="136" t="s">
        <v>88</v>
      </c>
      <c r="AK15" s="125">
        <v>13</v>
      </c>
      <c r="AL15" s="126" t="s">
        <v>95</v>
      </c>
      <c r="AM15" s="127" t="s">
        <v>250</v>
      </c>
      <c r="AN15" s="128"/>
      <c r="AO15" s="125">
        <v>13</v>
      </c>
      <c r="AP15" s="126" t="s">
        <v>96</v>
      </c>
      <c r="AQ15" s="219" t="s">
        <v>178</v>
      </c>
      <c r="AR15" s="135" t="s">
        <v>88</v>
      </c>
      <c r="AS15" s="129">
        <v>13</v>
      </c>
      <c r="AT15" s="130" t="s">
        <v>97</v>
      </c>
      <c r="AU15" s="131"/>
      <c r="AV15" s="132" t="s">
        <v>88</v>
      </c>
    </row>
    <row r="16" spans="1:48" ht="26.25" x14ac:dyDescent="0.25">
      <c r="A16" s="125">
        <v>14</v>
      </c>
      <c r="B16" s="126" t="s">
        <v>91</v>
      </c>
      <c r="C16" s="222" t="s">
        <v>217</v>
      </c>
      <c r="D16" s="140"/>
      <c r="E16" s="129">
        <v>14</v>
      </c>
      <c r="F16" s="130" t="s">
        <v>92</v>
      </c>
      <c r="G16" s="131"/>
      <c r="H16" s="136" t="s">
        <v>88</v>
      </c>
      <c r="I16" s="147">
        <v>14</v>
      </c>
      <c r="J16" s="152" t="s">
        <v>93</v>
      </c>
      <c r="K16" s="153" t="s">
        <v>85</v>
      </c>
      <c r="L16" s="154">
        <v>42</v>
      </c>
      <c r="M16" s="125">
        <v>14</v>
      </c>
      <c r="N16" s="126" t="s">
        <v>94</v>
      </c>
      <c r="O16" s="127"/>
      <c r="P16" s="128"/>
      <c r="Q16" s="129">
        <v>14</v>
      </c>
      <c r="R16" s="130" t="s">
        <v>92</v>
      </c>
      <c r="S16" s="131"/>
      <c r="T16" s="132" t="s">
        <v>88</v>
      </c>
      <c r="U16" s="125">
        <v>14</v>
      </c>
      <c r="V16" s="126" t="s">
        <v>95</v>
      </c>
      <c r="W16" s="178" t="s">
        <v>200</v>
      </c>
      <c r="X16" s="128" t="s">
        <v>88</v>
      </c>
      <c r="Y16" s="147">
        <v>14</v>
      </c>
      <c r="Z16" s="148" t="s">
        <v>96</v>
      </c>
      <c r="AA16" s="218" t="s">
        <v>231</v>
      </c>
      <c r="AB16" s="151" t="s">
        <v>88</v>
      </c>
      <c r="AC16" s="125">
        <v>14</v>
      </c>
      <c r="AD16" s="126" t="s">
        <v>96</v>
      </c>
      <c r="AE16" s="127"/>
      <c r="AF16" s="128" t="s">
        <v>88</v>
      </c>
      <c r="AG16" s="147">
        <v>14</v>
      </c>
      <c r="AH16" s="148" t="s">
        <v>93</v>
      </c>
      <c r="AI16" s="149" t="s">
        <v>158</v>
      </c>
      <c r="AJ16" s="151">
        <v>16</v>
      </c>
      <c r="AK16" s="125">
        <v>14</v>
      </c>
      <c r="AL16" s="126" t="s">
        <v>91</v>
      </c>
      <c r="AM16" s="222" t="s">
        <v>186</v>
      </c>
      <c r="AN16" s="128" t="s">
        <v>88</v>
      </c>
      <c r="AO16" s="129">
        <v>14</v>
      </c>
      <c r="AP16" s="130" t="s">
        <v>92</v>
      </c>
      <c r="AQ16" s="131"/>
      <c r="AR16" s="136" t="s">
        <v>88</v>
      </c>
      <c r="AS16" s="147">
        <v>14</v>
      </c>
      <c r="AT16" s="152" t="s">
        <v>93</v>
      </c>
      <c r="AU16" s="153" t="s">
        <v>69</v>
      </c>
      <c r="AV16" s="154">
        <v>29</v>
      </c>
    </row>
    <row r="17" spans="1:49" x14ac:dyDescent="0.25">
      <c r="A17" s="125">
        <v>15</v>
      </c>
      <c r="B17" s="126" t="s">
        <v>94</v>
      </c>
      <c r="C17" s="127"/>
      <c r="D17" s="138"/>
      <c r="E17" s="129">
        <v>15</v>
      </c>
      <c r="F17" s="130" t="s">
        <v>97</v>
      </c>
      <c r="G17" s="131"/>
      <c r="H17" s="136" t="s">
        <v>88</v>
      </c>
      <c r="I17" s="147">
        <v>15</v>
      </c>
      <c r="J17" s="152" t="s">
        <v>95</v>
      </c>
      <c r="K17" s="153" t="s">
        <v>85</v>
      </c>
      <c r="L17" s="154" t="s">
        <v>88</v>
      </c>
      <c r="M17" s="125">
        <v>15</v>
      </c>
      <c r="N17" s="126" t="s">
        <v>96</v>
      </c>
      <c r="O17" s="127"/>
      <c r="P17" s="128" t="s">
        <v>88</v>
      </c>
      <c r="Q17" s="129">
        <v>15</v>
      </c>
      <c r="R17" s="130" t="s">
        <v>97</v>
      </c>
      <c r="S17" s="131"/>
      <c r="T17" s="132" t="s">
        <v>88</v>
      </c>
      <c r="U17" s="125">
        <v>15</v>
      </c>
      <c r="V17" s="126" t="s">
        <v>91</v>
      </c>
      <c r="W17" s="222" t="s">
        <v>202</v>
      </c>
      <c r="X17" s="128"/>
      <c r="Y17" s="129">
        <v>15</v>
      </c>
      <c r="Z17" s="130" t="s">
        <v>92</v>
      </c>
      <c r="AA17" s="131"/>
      <c r="AB17" s="136" t="s">
        <v>88</v>
      </c>
      <c r="AC17" s="129">
        <v>15</v>
      </c>
      <c r="AD17" s="130" t="s">
        <v>92</v>
      </c>
      <c r="AE17" s="131"/>
      <c r="AF17" s="132" t="s">
        <v>88</v>
      </c>
      <c r="AG17" s="147">
        <v>15</v>
      </c>
      <c r="AH17" s="148" t="s">
        <v>95</v>
      </c>
      <c r="AI17" s="149" t="s">
        <v>158</v>
      </c>
      <c r="AJ17" s="151"/>
      <c r="AK17" s="125">
        <v>15</v>
      </c>
      <c r="AL17" s="126" t="s">
        <v>94</v>
      </c>
      <c r="AM17" s="127"/>
      <c r="AN17" s="128"/>
      <c r="AO17" s="129">
        <v>15</v>
      </c>
      <c r="AP17" s="130" t="s">
        <v>97</v>
      </c>
      <c r="AQ17" s="131"/>
      <c r="AR17" s="136" t="s">
        <v>88</v>
      </c>
      <c r="AS17" s="147">
        <v>15</v>
      </c>
      <c r="AT17" s="152" t="s">
        <v>95</v>
      </c>
      <c r="AU17" s="153" t="s">
        <v>69</v>
      </c>
      <c r="AV17" s="154"/>
    </row>
    <row r="18" spans="1:49" x14ac:dyDescent="0.25">
      <c r="A18" s="125">
        <v>16</v>
      </c>
      <c r="B18" s="126" t="s">
        <v>96</v>
      </c>
      <c r="C18" s="127"/>
      <c r="D18" s="138" t="s">
        <v>88</v>
      </c>
      <c r="E18" s="125">
        <v>16</v>
      </c>
      <c r="F18" s="126" t="s">
        <v>93</v>
      </c>
      <c r="G18" s="178" t="s">
        <v>182</v>
      </c>
      <c r="H18" s="135">
        <v>38</v>
      </c>
      <c r="I18" s="147">
        <v>16</v>
      </c>
      <c r="J18" s="152" t="s">
        <v>91</v>
      </c>
      <c r="K18" s="153" t="s">
        <v>85</v>
      </c>
      <c r="L18" s="154"/>
      <c r="M18" s="129">
        <v>16</v>
      </c>
      <c r="N18" s="130" t="s">
        <v>92</v>
      </c>
      <c r="O18" s="131"/>
      <c r="P18" s="132" t="s">
        <v>88</v>
      </c>
      <c r="Q18" s="125">
        <v>16</v>
      </c>
      <c r="R18" s="126" t="s">
        <v>93</v>
      </c>
      <c r="S18" s="127"/>
      <c r="T18" s="128">
        <v>51</v>
      </c>
      <c r="U18" s="125">
        <v>16</v>
      </c>
      <c r="V18" s="126" t="s">
        <v>94</v>
      </c>
      <c r="W18" s="178" t="s">
        <v>200</v>
      </c>
      <c r="X18" s="128"/>
      <c r="Y18" s="129">
        <v>16</v>
      </c>
      <c r="Z18" s="130" t="s">
        <v>97</v>
      </c>
      <c r="AA18" s="131"/>
      <c r="AB18" s="136" t="s">
        <v>88</v>
      </c>
      <c r="AC18" s="129">
        <v>16</v>
      </c>
      <c r="AD18" s="130" t="s">
        <v>97</v>
      </c>
      <c r="AE18" s="131"/>
      <c r="AF18" s="132" t="s">
        <v>88</v>
      </c>
      <c r="AG18" s="147">
        <v>16</v>
      </c>
      <c r="AH18" s="148" t="s">
        <v>91</v>
      </c>
      <c r="AI18" s="149" t="s">
        <v>158</v>
      </c>
      <c r="AJ18" s="151" t="s">
        <v>88</v>
      </c>
      <c r="AK18" s="125">
        <v>16</v>
      </c>
      <c r="AL18" s="126" t="s">
        <v>96</v>
      </c>
      <c r="AM18" s="178" t="s">
        <v>170</v>
      </c>
      <c r="AN18" s="128" t="s">
        <v>88</v>
      </c>
      <c r="AO18" s="125">
        <v>16</v>
      </c>
      <c r="AP18" s="126" t="s">
        <v>93</v>
      </c>
      <c r="AQ18" s="127"/>
      <c r="AR18" s="135">
        <v>25</v>
      </c>
      <c r="AS18" s="147">
        <v>16</v>
      </c>
      <c r="AT18" s="152" t="s">
        <v>91</v>
      </c>
      <c r="AU18" s="153" t="s">
        <v>69</v>
      </c>
      <c r="AV18" s="154" t="s">
        <v>88</v>
      </c>
    </row>
    <row r="19" spans="1:49" x14ac:dyDescent="0.25">
      <c r="A19" s="129">
        <v>17</v>
      </c>
      <c r="B19" s="130" t="s">
        <v>92</v>
      </c>
      <c r="C19" s="131"/>
      <c r="D19" s="144" t="s">
        <v>88</v>
      </c>
      <c r="E19" s="125">
        <v>17</v>
      </c>
      <c r="F19" s="126" t="s">
        <v>95</v>
      </c>
      <c r="G19" s="178" t="s">
        <v>182</v>
      </c>
      <c r="H19" s="135" t="s">
        <v>88</v>
      </c>
      <c r="I19" s="147">
        <v>17</v>
      </c>
      <c r="J19" s="152" t="s">
        <v>94</v>
      </c>
      <c r="K19" s="153" t="s">
        <v>85</v>
      </c>
      <c r="L19" s="154"/>
      <c r="M19" s="129">
        <v>17</v>
      </c>
      <c r="N19" s="130" t="s">
        <v>97</v>
      </c>
      <c r="O19" s="131"/>
      <c r="P19" s="132" t="s">
        <v>88</v>
      </c>
      <c r="Q19" s="125">
        <v>17</v>
      </c>
      <c r="R19" s="126" t="s">
        <v>95</v>
      </c>
      <c r="S19" s="127"/>
      <c r="T19" s="128" t="s">
        <v>88</v>
      </c>
      <c r="U19" s="125">
        <v>17</v>
      </c>
      <c r="V19" s="126" t="s">
        <v>96</v>
      </c>
      <c r="W19" s="178" t="s">
        <v>200</v>
      </c>
      <c r="X19" s="128" t="s">
        <v>88</v>
      </c>
      <c r="Y19" s="125">
        <v>17</v>
      </c>
      <c r="Z19" s="126" t="s">
        <v>93</v>
      </c>
      <c r="AA19" s="127"/>
      <c r="AB19" s="135">
        <v>8</v>
      </c>
      <c r="AC19" s="125">
        <v>17</v>
      </c>
      <c r="AD19" s="126" t="s">
        <v>93</v>
      </c>
      <c r="AE19" s="127"/>
      <c r="AF19" s="128">
        <v>12</v>
      </c>
      <c r="AG19" s="147">
        <v>17</v>
      </c>
      <c r="AH19" s="157" t="s">
        <v>94</v>
      </c>
      <c r="AI19" s="158" t="s">
        <v>60</v>
      </c>
      <c r="AJ19" s="160"/>
      <c r="AK19" s="129">
        <v>17</v>
      </c>
      <c r="AL19" s="130" t="s">
        <v>92</v>
      </c>
      <c r="AM19" s="131"/>
      <c r="AN19" s="132" t="s">
        <v>88</v>
      </c>
      <c r="AO19" s="125">
        <v>17</v>
      </c>
      <c r="AP19" s="126" t="s">
        <v>95</v>
      </c>
      <c r="AQ19" s="127"/>
      <c r="AR19" s="135"/>
      <c r="AS19" s="147">
        <v>17</v>
      </c>
      <c r="AT19" s="152" t="s">
        <v>94</v>
      </c>
      <c r="AU19" s="153" t="s">
        <v>69</v>
      </c>
      <c r="AV19" s="154"/>
    </row>
    <row r="20" spans="1:49" ht="26.25" x14ac:dyDescent="0.25">
      <c r="A20" s="129">
        <v>18</v>
      </c>
      <c r="B20" s="130" t="s">
        <v>97</v>
      </c>
      <c r="C20" s="131"/>
      <c r="D20" s="144" t="s">
        <v>88</v>
      </c>
      <c r="E20" s="125">
        <v>18</v>
      </c>
      <c r="F20" s="126" t="s">
        <v>91</v>
      </c>
      <c r="G20" s="222" t="s">
        <v>257</v>
      </c>
      <c r="H20" s="135"/>
      <c r="I20" s="147">
        <v>18</v>
      </c>
      <c r="J20" s="152" t="s">
        <v>96</v>
      </c>
      <c r="K20" s="153" t="s">
        <v>85</v>
      </c>
      <c r="L20" s="154" t="s">
        <v>88</v>
      </c>
      <c r="M20" s="125">
        <v>18</v>
      </c>
      <c r="N20" s="126" t="s">
        <v>93</v>
      </c>
      <c r="O20" s="226" t="s">
        <v>248</v>
      </c>
      <c r="P20" s="128">
        <v>47</v>
      </c>
      <c r="Q20" s="125">
        <v>18</v>
      </c>
      <c r="R20" s="126" t="s">
        <v>91</v>
      </c>
      <c r="S20" s="222" t="s">
        <v>210</v>
      </c>
      <c r="T20" s="128"/>
      <c r="U20" s="129">
        <v>18</v>
      </c>
      <c r="V20" s="130" t="s">
        <v>92</v>
      </c>
      <c r="W20" s="131"/>
      <c r="X20" s="132" t="s">
        <v>88</v>
      </c>
      <c r="Y20" s="125">
        <v>18</v>
      </c>
      <c r="Z20" s="126" t="s">
        <v>95</v>
      </c>
      <c r="AA20" s="127"/>
      <c r="AB20" s="135" t="s">
        <v>88</v>
      </c>
      <c r="AC20" s="125">
        <v>18</v>
      </c>
      <c r="AD20" s="126" t="s">
        <v>95</v>
      </c>
      <c r="AE20" s="127"/>
      <c r="AF20" s="128"/>
      <c r="AG20" s="147">
        <v>18</v>
      </c>
      <c r="AH20" s="157" t="s">
        <v>96</v>
      </c>
      <c r="AI20" s="158" t="s">
        <v>101</v>
      </c>
      <c r="AJ20" s="160" t="s">
        <v>88</v>
      </c>
      <c r="AK20" s="129">
        <v>18</v>
      </c>
      <c r="AL20" s="130" t="s">
        <v>97</v>
      </c>
      <c r="AM20" s="267"/>
      <c r="AN20" s="268"/>
      <c r="AO20" s="125">
        <v>18</v>
      </c>
      <c r="AP20" s="126" t="s">
        <v>91</v>
      </c>
      <c r="AQ20" s="222" t="s">
        <v>257</v>
      </c>
      <c r="AR20" s="135" t="s">
        <v>88</v>
      </c>
      <c r="AS20" s="147">
        <v>18</v>
      </c>
      <c r="AT20" s="155" t="s">
        <v>96</v>
      </c>
      <c r="AU20" s="153" t="s">
        <v>69</v>
      </c>
      <c r="AV20" s="154" t="s">
        <v>88</v>
      </c>
    </row>
    <row r="21" spans="1:49" ht="38.25" customHeight="1" x14ac:dyDescent="0.25">
      <c r="A21" s="125">
        <v>19</v>
      </c>
      <c r="B21" s="126" t="s">
        <v>93</v>
      </c>
      <c r="C21" s="218" t="s">
        <v>204</v>
      </c>
      <c r="D21" s="140">
        <v>34</v>
      </c>
      <c r="E21" s="125">
        <v>19</v>
      </c>
      <c r="F21" s="126" t="s">
        <v>94</v>
      </c>
      <c r="G21" s="127" t="s">
        <v>229</v>
      </c>
      <c r="H21" s="135"/>
      <c r="I21" s="129">
        <v>19</v>
      </c>
      <c r="J21" s="130" t="s">
        <v>92</v>
      </c>
      <c r="K21" s="131"/>
      <c r="L21" s="132" t="s">
        <v>88</v>
      </c>
      <c r="M21" s="125">
        <v>19</v>
      </c>
      <c r="N21" s="126" t="s">
        <v>95</v>
      </c>
      <c r="O21" s="127" t="s">
        <v>225</v>
      </c>
      <c r="P21" s="128" t="s">
        <v>88</v>
      </c>
      <c r="Q21" s="125">
        <v>19</v>
      </c>
      <c r="R21" s="126" t="s">
        <v>94</v>
      </c>
      <c r="S21" s="127"/>
      <c r="T21" s="128"/>
      <c r="U21" s="129">
        <v>19</v>
      </c>
      <c r="V21" s="130" t="s">
        <v>97</v>
      </c>
      <c r="W21" s="131"/>
      <c r="X21" s="132" t="s">
        <v>88</v>
      </c>
      <c r="Y21" s="125">
        <v>19</v>
      </c>
      <c r="Z21" s="126" t="s">
        <v>91</v>
      </c>
      <c r="AA21" s="222" t="s">
        <v>257</v>
      </c>
      <c r="AB21" s="135"/>
      <c r="AC21" s="125">
        <v>19</v>
      </c>
      <c r="AD21" s="126" t="s">
        <v>91</v>
      </c>
      <c r="AE21" s="127" t="s">
        <v>190</v>
      </c>
      <c r="AF21" s="128" t="s">
        <v>88</v>
      </c>
      <c r="AG21" s="129">
        <v>19</v>
      </c>
      <c r="AH21" s="130" t="s">
        <v>92</v>
      </c>
      <c r="AI21" s="131"/>
      <c r="AJ21" s="136" t="s">
        <v>88</v>
      </c>
      <c r="AK21" s="125">
        <v>19</v>
      </c>
      <c r="AL21" s="126" t="s">
        <v>93</v>
      </c>
      <c r="AM21" s="226" t="s">
        <v>249</v>
      </c>
      <c r="AN21" s="128">
        <v>21</v>
      </c>
      <c r="AO21" s="125">
        <v>19</v>
      </c>
      <c r="AP21" s="126" t="s">
        <v>94</v>
      </c>
      <c r="AQ21" s="127"/>
      <c r="AR21" s="135"/>
      <c r="AS21" s="129">
        <v>19</v>
      </c>
      <c r="AT21" s="130" t="s">
        <v>92</v>
      </c>
      <c r="AU21" s="131"/>
      <c r="AV21" s="132" t="s">
        <v>88</v>
      </c>
    </row>
    <row r="22" spans="1:49" ht="60.75" customHeight="1" x14ac:dyDescent="0.25">
      <c r="A22" s="125">
        <v>20</v>
      </c>
      <c r="B22" s="126" t="s">
        <v>95</v>
      </c>
      <c r="C22" s="218" t="s">
        <v>251</v>
      </c>
      <c r="D22" s="140" t="s">
        <v>88</v>
      </c>
      <c r="E22" s="125">
        <v>20</v>
      </c>
      <c r="F22" s="126" t="s">
        <v>96</v>
      </c>
      <c r="G22" s="127"/>
      <c r="H22" s="135" t="s">
        <v>88</v>
      </c>
      <c r="I22" s="129">
        <v>20</v>
      </c>
      <c r="J22" s="130" t="s">
        <v>97</v>
      </c>
      <c r="K22" s="131"/>
      <c r="L22" s="132" t="s">
        <v>88</v>
      </c>
      <c r="M22" s="125">
        <v>20</v>
      </c>
      <c r="N22" s="126" t="s">
        <v>91</v>
      </c>
      <c r="O22" s="222" t="s">
        <v>176</v>
      </c>
      <c r="P22" s="128"/>
      <c r="Q22" s="125">
        <v>20</v>
      </c>
      <c r="R22" s="126" t="s">
        <v>96</v>
      </c>
      <c r="S22" s="127"/>
      <c r="T22" s="128" t="s">
        <v>88</v>
      </c>
      <c r="U22" s="125">
        <v>20</v>
      </c>
      <c r="V22" s="126" t="s">
        <v>93</v>
      </c>
      <c r="W22" s="127"/>
      <c r="X22" s="128">
        <v>4</v>
      </c>
      <c r="Y22" s="125">
        <v>20</v>
      </c>
      <c r="Z22" s="126" t="s">
        <v>94</v>
      </c>
      <c r="AA22" s="127"/>
      <c r="AB22" s="135"/>
      <c r="AC22" s="125">
        <v>20</v>
      </c>
      <c r="AD22" s="126" t="s">
        <v>94</v>
      </c>
      <c r="AE22" s="127"/>
      <c r="AF22" s="128"/>
      <c r="AG22" s="129">
        <v>20</v>
      </c>
      <c r="AH22" s="130" t="s">
        <v>97</v>
      </c>
      <c r="AI22" s="131" t="s">
        <v>73</v>
      </c>
      <c r="AJ22" s="136" t="s">
        <v>88</v>
      </c>
      <c r="AK22" s="125">
        <v>20</v>
      </c>
      <c r="AL22" s="126" t="s">
        <v>95</v>
      </c>
      <c r="AM22" s="127" t="s">
        <v>245</v>
      </c>
      <c r="AN22" s="128"/>
      <c r="AO22" s="125">
        <v>20</v>
      </c>
      <c r="AP22" s="134" t="s">
        <v>96</v>
      </c>
      <c r="AQ22" s="219" t="s">
        <v>181</v>
      </c>
      <c r="AR22" s="135" t="s">
        <v>88</v>
      </c>
      <c r="AS22" s="129">
        <v>20</v>
      </c>
      <c r="AT22" s="130" t="s">
        <v>97</v>
      </c>
      <c r="AU22" s="131"/>
      <c r="AV22" s="132" t="s">
        <v>88</v>
      </c>
    </row>
    <row r="23" spans="1:49" ht="120.75" customHeight="1" x14ac:dyDescent="0.25">
      <c r="A23" s="125">
        <v>21</v>
      </c>
      <c r="B23" s="126" t="s">
        <v>91</v>
      </c>
      <c r="C23" s="223" t="s">
        <v>286</v>
      </c>
      <c r="D23" s="140"/>
      <c r="E23" s="129">
        <v>21</v>
      </c>
      <c r="F23" s="130" t="s">
        <v>92</v>
      </c>
      <c r="G23" s="131"/>
      <c r="H23" s="136" t="s">
        <v>88</v>
      </c>
      <c r="I23" s="125">
        <v>21</v>
      </c>
      <c r="J23" s="126" t="s">
        <v>93</v>
      </c>
      <c r="K23" s="127"/>
      <c r="L23" s="128">
        <v>43</v>
      </c>
      <c r="M23" s="125">
        <v>21</v>
      </c>
      <c r="N23" s="126" t="s">
        <v>94</v>
      </c>
      <c r="O23" s="127"/>
      <c r="P23" s="128"/>
      <c r="Q23" s="129">
        <v>21</v>
      </c>
      <c r="R23" s="130" t="s">
        <v>92</v>
      </c>
      <c r="S23" s="131"/>
      <c r="T23" s="132" t="s">
        <v>88</v>
      </c>
      <c r="U23" s="125">
        <v>21</v>
      </c>
      <c r="V23" s="126" t="s">
        <v>95</v>
      </c>
      <c r="W23" s="127"/>
      <c r="X23" s="128" t="s">
        <v>88</v>
      </c>
      <c r="Y23" s="125">
        <v>21</v>
      </c>
      <c r="Z23" s="126" t="s">
        <v>96</v>
      </c>
      <c r="AA23" s="127"/>
      <c r="AB23" s="135" t="s">
        <v>88</v>
      </c>
      <c r="AC23" s="125">
        <v>21</v>
      </c>
      <c r="AD23" s="126" t="s">
        <v>96</v>
      </c>
      <c r="AE23" s="225" t="s">
        <v>199</v>
      </c>
      <c r="AF23" s="128" t="s">
        <v>88</v>
      </c>
      <c r="AG23" s="147">
        <v>21</v>
      </c>
      <c r="AH23" s="157" t="s">
        <v>93</v>
      </c>
      <c r="AI23" s="158" t="s">
        <v>145</v>
      </c>
      <c r="AJ23" s="160">
        <v>17</v>
      </c>
      <c r="AK23" s="125">
        <v>21</v>
      </c>
      <c r="AL23" s="126" t="s">
        <v>91</v>
      </c>
      <c r="AM23" s="223" t="s">
        <v>296</v>
      </c>
      <c r="AN23" s="128" t="s">
        <v>88</v>
      </c>
      <c r="AO23" s="129">
        <v>21</v>
      </c>
      <c r="AP23" s="130" t="s">
        <v>92</v>
      </c>
      <c r="AQ23" s="131"/>
      <c r="AR23" s="136" t="s">
        <v>88</v>
      </c>
      <c r="AS23" s="147">
        <v>21</v>
      </c>
      <c r="AT23" s="155" t="s">
        <v>93</v>
      </c>
      <c r="AU23" s="153" t="s">
        <v>69</v>
      </c>
      <c r="AV23" s="154">
        <v>30</v>
      </c>
      <c r="AW23" s="3"/>
    </row>
    <row r="24" spans="1:49" ht="51.75" x14ac:dyDescent="0.25">
      <c r="A24" s="125">
        <v>22</v>
      </c>
      <c r="B24" s="126" t="s">
        <v>94</v>
      </c>
      <c r="C24" s="218" t="s">
        <v>237</v>
      </c>
      <c r="D24" s="140"/>
      <c r="E24" s="129">
        <v>22</v>
      </c>
      <c r="F24" s="130" t="s">
        <v>97</v>
      </c>
      <c r="G24" s="131"/>
      <c r="H24" s="136" t="s">
        <v>88</v>
      </c>
      <c r="I24" s="125">
        <v>22</v>
      </c>
      <c r="J24" s="126" t="s">
        <v>95</v>
      </c>
      <c r="K24" s="226" t="s">
        <v>238</v>
      </c>
      <c r="L24" s="128"/>
      <c r="M24" s="125">
        <v>22</v>
      </c>
      <c r="N24" s="126" t="s">
        <v>96</v>
      </c>
      <c r="O24" s="127" t="s">
        <v>211</v>
      </c>
      <c r="P24" s="128" t="s">
        <v>88</v>
      </c>
      <c r="Q24" s="129">
        <v>22</v>
      </c>
      <c r="R24" s="130" t="s">
        <v>97</v>
      </c>
      <c r="S24" s="131"/>
      <c r="T24" s="132" t="s">
        <v>88</v>
      </c>
      <c r="U24" s="125">
        <v>22</v>
      </c>
      <c r="V24" s="126" t="s">
        <v>91</v>
      </c>
      <c r="W24" s="222" t="s">
        <v>186</v>
      </c>
      <c r="X24" s="128"/>
      <c r="Y24" s="129">
        <v>22</v>
      </c>
      <c r="Z24" s="130" t="s">
        <v>92</v>
      </c>
      <c r="AA24" s="131"/>
      <c r="AB24" s="136" t="s">
        <v>88</v>
      </c>
      <c r="AC24" s="129">
        <v>22</v>
      </c>
      <c r="AD24" s="130" t="s">
        <v>92</v>
      </c>
      <c r="AE24" s="131"/>
      <c r="AF24" s="132" t="s">
        <v>88</v>
      </c>
      <c r="AG24" s="125">
        <v>22</v>
      </c>
      <c r="AH24" s="126" t="s">
        <v>95</v>
      </c>
      <c r="AI24" s="226" t="s">
        <v>242</v>
      </c>
      <c r="AJ24" s="135"/>
      <c r="AK24" s="125">
        <v>22</v>
      </c>
      <c r="AL24" s="126" t="s">
        <v>94</v>
      </c>
      <c r="AM24" s="127"/>
      <c r="AN24" s="128"/>
      <c r="AO24" s="129">
        <v>22</v>
      </c>
      <c r="AP24" s="130" t="s">
        <v>97</v>
      </c>
      <c r="AQ24" s="131"/>
      <c r="AR24" s="136" t="s">
        <v>88</v>
      </c>
      <c r="AS24" s="147">
        <v>22</v>
      </c>
      <c r="AT24" s="152" t="s">
        <v>95</v>
      </c>
      <c r="AU24" s="153" t="s">
        <v>69</v>
      </c>
      <c r="AV24" s="154"/>
      <c r="AW24" s="3"/>
    </row>
    <row r="25" spans="1:49" ht="39" x14ac:dyDescent="0.25">
      <c r="A25" s="125">
        <v>23</v>
      </c>
      <c r="B25" s="126" t="s">
        <v>96</v>
      </c>
      <c r="C25" s="218" t="s">
        <v>204</v>
      </c>
      <c r="D25" s="140" t="s">
        <v>88</v>
      </c>
      <c r="E25" s="125">
        <v>23</v>
      </c>
      <c r="F25" s="126" t="s">
        <v>93</v>
      </c>
      <c r="G25" s="218" t="s">
        <v>209</v>
      </c>
      <c r="H25" s="135">
        <v>39</v>
      </c>
      <c r="I25" s="125">
        <v>23</v>
      </c>
      <c r="J25" s="126" t="s">
        <v>91</v>
      </c>
      <c r="K25" s="222" t="s">
        <v>187</v>
      </c>
      <c r="L25" s="128"/>
      <c r="M25" s="129">
        <v>23</v>
      </c>
      <c r="N25" s="130" t="s">
        <v>92</v>
      </c>
      <c r="O25" s="131"/>
      <c r="P25" s="132" t="s">
        <v>88</v>
      </c>
      <c r="Q25" s="147">
        <v>23</v>
      </c>
      <c r="R25" s="148" t="s">
        <v>93</v>
      </c>
      <c r="S25" s="149" t="s">
        <v>196</v>
      </c>
      <c r="T25" s="150">
        <v>52</v>
      </c>
      <c r="U25" s="125">
        <v>23</v>
      </c>
      <c r="V25" s="126" t="s">
        <v>94</v>
      </c>
      <c r="W25" s="127"/>
      <c r="X25" s="128"/>
      <c r="Y25" s="129">
        <v>23</v>
      </c>
      <c r="Z25" s="130" t="s">
        <v>97</v>
      </c>
      <c r="AA25" s="131"/>
      <c r="AB25" s="136" t="s">
        <v>88</v>
      </c>
      <c r="AC25" s="129">
        <v>23</v>
      </c>
      <c r="AD25" s="130" t="s">
        <v>97</v>
      </c>
      <c r="AE25" s="131"/>
      <c r="AF25" s="132" t="s">
        <v>88</v>
      </c>
      <c r="AG25" s="125">
        <v>23</v>
      </c>
      <c r="AH25" s="126" t="s">
        <v>91</v>
      </c>
      <c r="AI25" s="222" t="s">
        <v>174</v>
      </c>
      <c r="AJ25" s="135" t="s">
        <v>88</v>
      </c>
      <c r="AK25" s="125">
        <v>23</v>
      </c>
      <c r="AL25" s="134" t="s">
        <v>96</v>
      </c>
      <c r="AM25" s="127"/>
      <c r="AN25" s="128" t="s">
        <v>88</v>
      </c>
      <c r="AO25" s="125">
        <v>23</v>
      </c>
      <c r="AP25" s="134" t="s">
        <v>93</v>
      </c>
      <c r="AQ25" s="127"/>
      <c r="AR25" s="135">
        <v>26</v>
      </c>
      <c r="AS25" s="147">
        <v>23</v>
      </c>
      <c r="AT25" s="152" t="s">
        <v>91</v>
      </c>
      <c r="AU25" s="153" t="s">
        <v>69</v>
      </c>
      <c r="AV25" s="154" t="s">
        <v>88</v>
      </c>
    </row>
    <row r="26" spans="1:49" ht="39" x14ac:dyDescent="0.25">
      <c r="A26" s="129">
        <v>24</v>
      </c>
      <c r="B26" s="130" t="s">
        <v>92</v>
      </c>
      <c r="C26" s="131"/>
      <c r="D26" s="139" t="s">
        <v>88</v>
      </c>
      <c r="E26" s="125">
        <v>24</v>
      </c>
      <c r="F26" s="126" t="s">
        <v>95</v>
      </c>
      <c r="G26" s="218" t="s">
        <v>184</v>
      </c>
      <c r="H26" s="135" t="s">
        <v>88</v>
      </c>
      <c r="I26" s="125">
        <v>24</v>
      </c>
      <c r="J26" s="126" t="s">
        <v>94</v>
      </c>
      <c r="K26" s="127"/>
      <c r="L26" s="128"/>
      <c r="M26" s="129">
        <v>24</v>
      </c>
      <c r="N26" s="130" t="s">
        <v>97</v>
      </c>
      <c r="O26" s="131"/>
      <c r="P26" s="132" t="s">
        <v>88</v>
      </c>
      <c r="Q26" s="147">
        <v>24</v>
      </c>
      <c r="R26" s="148" t="s">
        <v>95</v>
      </c>
      <c r="S26" s="149" t="s">
        <v>197</v>
      </c>
      <c r="T26" s="150" t="s">
        <v>88</v>
      </c>
      <c r="U26" s="125">
        <v>24</v>
      </c>
      <c r="V26" s="126" t="s">
        <v>96</v>
      </c>
      <c r="W26" s="127"/>
      <c r="X26" s="128" t="s">
        <v>88</v>
      </c>
      <c r="Y26" s="125">
        <v>24</v>
      </c>
      <c r="Z26" s="126" t="s">
        <v>93</v>
      </c>
      <c r="AA26" s="127"/>
      <c r="AB26" s="135">
        <v>9</v>
      </c>
      <c r="AC26" s="125">
        <v>24</v>
      </c>
      <c r="AD26" s="126" t="s">
        <v>93</v>
      </c>
      <c r="AE26" s="127"/>
      <c r="AF26" s="128">
        <v>13</v>
      </c>
      <c r="AG26" s="125">
        <v>24</v>
      </c>
      <c r="AH26" s="126" t="s">
        <v>94</v>
      </c>
      <c r="AI26" s="127" t="s">
        <v>228</v>
      </c>
      <c r="AJ26" s="135"/>
      <c r="AK26" s="129">
        <v>24</v>
      </c>
      <c r="AL26" s="130" t="s">
        <v>92</v>
      </c>
      <c r="AM26" s="131"/>
      <c r="AN26" s="132" t="s">
        <v>88</v>
      </c>
      <c r="AO26" s="125">
        <v>24</v>
      </c>
      <c r="AP26" s="126" t="s">
        <v>95</v>
      </c>
      <c r="AQ26" s="127"/>
      <c r="AR26" s="135"/>
      <c r="AS26" s="147">
        <v>24</v>
      </c>
      <c r="AT26" s="152" t="s">
        <v>94</v>
      </c>
      <c r="AU26" s="153" t="s">
        <v>69</v>
      </c>
      <c r="AV26" s="154"/>
    </row>
    <row r="27" spans="1:49" ht="39" x14ac:dyDescent="0.25">
      <c r="A27" s="129">
        <v>25</v>
      </c>
      <c r="B27" s="130" t="s">
        <v>97</v>
      </c>
      <c r="C27" s="131"/>
      <c r="D27" s="139" t="s">
        <v>88</v>
      </c>
      <c r="E27" s="125">
        <v>25</v>
      </c>
      <c r="F27" s="126" t="s">
        <v>91</v>
      </c>
      <c r="G27" s="218" t="s">
        <v>184</v>
      </c>
      <c r="H27" s="135"/>
      <c r="I27" s="125">
        <v>25</v>
      </c>
      <c r="J27" s="126" t="s">
        <v>96</v>
      </c>
      <c r="K27" s="127"/>
      <c r="L27" s="128" t="s">
        <v>88</v>
      </c>
      <c r="M27" s="125">
        <v>25</v>
      </c>
      <c r="N27" s="126" t="s">
        <v>93</v>
      </c>
      <c r="O27" s="226" t="s">
        <v>246</v>
      </c>
      <c r="P27" s="128">
        <v>48</v>
      </c>
      <c r="Q27" s="147">
        <v>25</v>
      </c>
      <c r="R27" s="157" t="s">
        <v>91</v>
      </c>
      <c r="S27" s="158" t="s">
        <v>146</v>
      </c>
      <c r="T27" s="159"/>
      <c r="U27" s="129">
        <v>25</v>
      </c>
      <c r="V27" s="130" t="s">
        <v>92</v>
      </c>
      <c r="W27" s="131"/>
      <c r="X27" s="132" t="s">
        <v>88</v>
      </c>
      <c r="Y27" s="125">
        <v>25</v>
      </c>
      <c r="Z27" s="126" t="s">
        <v>95</v>
      </c>
      <c r="AA27" s="127"/>
      <c r="AB27" s="135" t="s">
        <v>88</v>
      </c>
      <c r="AC27" s="125">
        <v>25</v>
      </c>
      <c r="AD27" s="126" t="s">
        <v>95</v>
      </c>
      <c r="AE27" s="127"/>
      <c r="AF27" s="128"/>
      <c r="AG27" s="125">
        <v>25</v>
      </c>
      <c r="AH27" s="134" t="s">
        <v>96</v>
      </c>
      <c r="AI27" s="127" t="s">
        <v>214</v>
      </c>
      <c r="AJ27" s="135" t="s">
        <v>88</v>
      </c>
      <c r="AK27" s="129">
        <v>25</v>
      </c>
      <c r="AL27" s="130" t="s">
        <v>97</v>
      </c>
      <c r="AM27" s="131"/>
      <c r="AN27" s="132" t="s">
        <v>88</v>
      </c>
      <c r="AO27" s="125">
        <v>25</v>
      </c>
      <c r="AP27" s="126" t="s">
        <v>91</v>
      </c>
      <c r="AQ27" s="178" t="s">
        <v>165</v>
      </c>
      <c r="AR27" s="135" t="s">
        <v>88</v>
      </c>
      <c r="AS27" s="147">
        <v>25</v>
      </c>
      <c r="AT27" s="152" t="s">
        <v>96</v>
      </c>
      <c r="AU27" s="153" t="s">
        <v>69</v>
      </c>
      <c r="AV27" s="154" t="s">
        <v>88</v>
      </c>
    </row>
    <row r="28" spans="1:49" ht="39" x14ac:dyDescent="0.25">
      <c r="A28" s="125">
        <v>26</v>
      </c>
      <c r="B28" s="126" t="s">
        <v>93</v>
      </c>
      <c r="C28" s="226" t="s">
        <v>285</v>
      </c>
      <c r="D28" s="140">
        <v>35</v>
      </c>
      <c r="E28" s="125">
        <v>26</v>
      </c>
      <c r="F28" s="126" t="s">
        <v>94</v>
      </c>
      <c r="G28" s="218" t="s">
        <v>184</v>
      </c>
      <c r="H28" s="135"/>
      <c r="I28" s="129">
        <v>26</v>
      </c>
      <c r="J28" s="130" t="s">
        <v>92</v>
      </c>
      <c r="K28" s="131"/>
      <c r="L28" s="132" t="s">
        <v>88</v>
      </c>
      <c r="M28" s="125">
        <v>26</v>
      </c>
      <c r="N28" s="126" t="s">
        <v>95</v>
      </c>
      <c r="O28" s="226" t="s">
        <v>241</v>
      </c>
      <c r="P28" s="128" t="s">
        <v>88</v>
      </c>
      <c r="Q28" s="147">
        <v>26</v>
      </c>
      <c r="R28" s="157" t="s">
        <v>94</v>
      </c>
      <c r="S28" s="158" t="s">
        <v>52</v>
      </c>
      <c r="T28" s="159"/>
      <c r="U28" s="129">
        <v>26</v>
      </c>
      <c r="V28" s="130" t="s">
        <v>97</v>
      </c>
      <c r="W28" s="131"/>
      <c r="X28" s="132" t="s">
        <v>88</v>
      </c>
      <c r="Y28" s="125">
        <v>26</v>
      </c>
      <c r="Z28" s="126" t="s">
        <v>91</v>
      </c>
      <c r="AA28" s="222" t="s">
        <v>174</v>
      </c>
      <c r="AB28" s="135"/>
      <c r="AC28" s="125">
        <v>26</v>
      </c>
      <c r="AD28" s="126" t="s">
        <v>91</v>
      </c>
      <c r="AE28" s="127" t="s">
        <v>190</v>
      </c>
      <c r="AF28" s="128" t="s">
        <v>88</v>
      </c>
      <c r="AG28" s="129">
        <v>26</v>
      </c>
      <c r="AH28" s="130" t="s">
        <v>92</v>
      </c>
      <c r="AI28" s="131"/>
      <c r="AJ28" s="136" t="s">
        <v>88</v>
      </c>
      <c r="AK28" s="125">
        <v>26</v>
      </c>
      <c r="AL28" s="134" t="s">
        <v>93</v>
      </c>
      <c r="AM28" s="227" t="s">
        <v>297</v>
      </c>
      <c r="AN28" s="128">
        <v>22</v>
      </c>
      <c r="AO28" s="125">
        <v>26</v>
      </c>
      <c r="AP28" s="126" t="s">
        <v>94</v>
      </c>
      <c r="AQ28" s="218" t="s">
        <v>180</v>
      </c>
      <c r="AR28" s="135"/>
      <c r="AS28" s="129">
        <v>26</v>
      </c>
      <c r="AT28" s="133" t="s">
        <v>92</v>
      </c>
      <c r="AU28" s="131"/>
      <c r="AV28" s="132" t="s">
        <v>88</v>
      </c>
    </row>
    <row r="29" spans="1:49" ht="51.75" x14ac:dyDescent="0.25">
      <c r="A29" s="125">
        <v>27</v>
      </c>
      <c r="B29" s="126" t="s">
        <v>95</v>
      </c>
      <c r="C29" s="127"/>
      <c r="D29" s="140" t="s">
        <v>88</v>
      </c>
      <c r="E29" s="125">
        <v>27</v>
      </c>
      <c r="F29" s="126" t="s">
        <v>96</v>
      </c>
      <c r="G29" s="218" t="s">
        <v>185</v>
      </c>
      <c r="H29" s="135" t="s">
        <v>88</v>
      </c>
      <c r="I29" s="129">
        <v>27</v>
      </c>
      <c r="J29" s="130" t="s">
        <v>97</v>
      </c>
      <c r="K29" s="131"/>
      <c r="L29" s="132" t="s">
        <v>88</v>
      </c>
      <c r="M29" s="125">
        <v>27</v>
      </c>
      <c r="N29" s="126" t="s">
        <v>91</v>
      </c>
      <c r="O29" s="222" t="s">
        <v>257</v>
      </c>
      <c r="P29" s="128"/>
      <c r="Q29" s="147">
        <v>27</v>
      </c>
      <c r="R29" s="148" t="s">
        <v>96</v>
      </c>
      <c r="S29" s="149" t="s">
        <v>196</v>
      </c>
      <c r="T29" s="150" t="s">
        <v>88</v>
      </c>
      <c r="U29" s="125">
        <v>27</v>
      </c>
      <c r="V29" s="126" t="s">
        <v>93</v>
      </c>
      <c r="W29" s="127"/>
      <c r="X29" s="128">
        <v>5</v>
      </c>
      <c r="Y29" s="125">
        <v>27</v>
      </c>
      <c r="Z29" s="126" t="s">
        <v>94</v>
      </c>
      <c r="AA29" s="127"/>
      <c r="AB29" s="135"/>
      <c r="AC29" s="125">
        <v>27</v>
      </c>
      <c r="AD29" s="126" t="s">
        <v>94</v>
      </c>
      <c r="AE29" s="127"/>
      <c r="AF29" s="128"/>
      <c r="AG29" s="129">
        <v>27</v>
      </c>
      <c r="AH29" s="130" t="s">
        <v>97</v>
      </c>
      <c r="AI29" s="131"/>
      <c r="AJ29" s="136" t="s">
        <v>88</v>
      </c>
      <c r="AK29" s="125">
        <v>27</v>
      </c>
      <c r="AL29" s="126" t="s">
        <v>95</v>
      </c>
      <c r="AM29" s="127"/>
      <c r="AN29" s="128"/>
      <c r="AO29" s="125">
        <v>27</v>
      </c>
      <c r="AP29" s="126" t="s">
        <v>96</v>
      </c>
      <c r="AQ29" s="178" t="s">
        <v>166</v>
      </c>
      <c r="AR29" s="135" t="s">
        <v>88</v>
      </c>
      <c r="AS29" s="129">
        <v>27</v>
      </c>
      <c r="AT29" s="130" t="s">
        <v>97</v>
      </c>
      <c r="AU29" s="131"/>
      <c r="AV29" s="132" t="s">
        <v>88</v>
      </c>
    </row>
    <row r="30" spans="1:49" ht="26.25" x14ac:dyDescent="0.25">
      <c r="A30" s="125">
        <v>28</v>
      </c>
      <c r="B30" s="126" t="s">
        <v>91</v>
      </c>
      <c r="C30" s="222" t="s">
        <v>175</v>
      </c>
      <c r="D30" s="140"/>
      <c r="E30" s="129">
        <v>28</v>
      </c>
      <c r="F30" s="130" t="s">
        <v>92</v>
      </c>
      <c r="G30" s="131"/>
      <c r="H30" s="136" t="s">
        <v>88</v>
      </c>
      <c r="I30" s="125">
        <v>28</v>
      </c>
      <c r="J30" s="126" t="s">
        <v>93</v>
      </c>
      <c r="K30" s="218" t="s">
        <v>244</v>
      </c>
      <c r="L30" s="128">
        <v>44</v>
      </c>
      <c r="M30" s="125">
        <v>28</v>
      </c>
      <c r="N30" s="126" t="s">
        <v>94</v>
      </c>
      <c r="O30" s="127"/>
      <c r="P30" s="128"/>
      <c r="Q30" s="129">
        <v>28</v>
      </c>
      <c r="R30" s="130" t="s">
        <v>92</v>
      </c>
      <c r="S30" s="131"/>
      <c r="T30" s="132" t="s">
        <v>88</v>
      </c>
      <c r="U30" s="125">
        <v>28</v>
      </c>
      <c r="V30" s="126" t="s">
        <v>95</v>
      </c>
      <c r="W30" s="127"/>
      <c r="X30" s="128" t="s">
        <v>88</v>
      </c>
      <c r="Y30" s="125">
        <v>28</v>
      </c>
      <c r="Z30" s="134" t="s">
        <v>96</v>
      </c>
      <c r="AA30" s="127"/>
      <c r="AB30" s="128" t="s">
        <v>88</v>
      </c>
      <c r="AC30" s="125">
        <v>28</v>
      </c>
      <c r="AD30" s="134" t="s">
        <v>96</v>
      </c>
      <c r="AE30" s="127"/>
      <c r="AF30" s="128" t="s">
        <v>88</v>
      </c>
      <c r="AG30" s="125">
        <v>28</v>
      </c>
      <c r="AH30" s="134" t="s">
        <v>93</v>
      </c>
      <c r="AI30" s="127" t="s">
        <v>223</v>
      </c>
      <c r="AJ30" s="135">
        <v>18</v>
      </c>
      <c r="AK30" s="125">
        <v>28</v>
      </c>
      <c r="AL30" s="126" t="s">
        <v>91</v>
      </c>
      <c r="AM30" s="222" t="s">
        <v>190</v>
      </c>
      <c r="AN30" s="128" t="s">
        <v>88</v>
      </c>
      <c r="AO30" s="129">
        <v>28</v>
      </c>
      <c r="AP30" s="133" t="s">
        <v>92</v>
      </c>
      <c r="AQ30" s="131"/>
      <c r="AR30" s="136" t="s">
        <v>88</v>
      </c>
      <c r="AS30" s="147">
        <v>28</v>
      </c>
      <c r="AT30" s="152" t="s">
        <v>93</v>
      </c>
      <c r="AU30" s="153" t="s">
        <v>69</v>
      </c>
      <c r="AV30" s="154">
        <v>31</v>
      </c>
    </row>
    <row r="31" spans="1:49" x14ac:dyDescent="0.25">
      <c r="A31" s="125">
        <v>29</v>
      </c>
      <c r="B31" s="126" t="s">
        <v>94</v>
      </c>
      <c r="C31" s="127" t="s">
        <v>243</v>
      </c>
      <c r="D31" s="138"/>
      <c r="E31" s="129">
        <v>29</v>
      </c>
      <c r="F31" s="130" t="s">
        <v>97</v>
      </c>
      <c r="G31" s="131"/>
      <c r="H31" s="136" t="s">
        <v>88</v>
      </c>
      <c r="I31" s="125">
        <v>29</v>
      </c>
      <c r="J31" s="126" t="s">
        <v>95</v>
      </c>
      <c r="K31" s="178" t="s">
        <v>172</v>
      </c>
      <c r="L31" s="128" t="s">
        <v>88</v>
      </c>
      <c r="M31" s="125">
        <v>29</v>
      </c>
      <c r="N31" s="126" t="s">
        <v>96</v>
      </c>
      <c r="O31" s="127"/>
      <c r="P31" s="128" t="s">
        <v>88</v>
      </c>
      <c r="Q31" s="129">
        <v>29</v>
      </c>
      <c r="R31" s="130" t="s">
        <v>97</v>
      </c>
      <c r="S31" s="131"/>
      <c r="T31" s="132" t="s">
        <v>88</v>
      </c>
      <c r="U31" s="125">
        <v>29</v>
      </c>
      <c r="V31" s="126" t="s">
        <v>91</v>
      </c>
      <c r="W31" s="222" t="s">
        <v>175</v>
      </c>
      <c r="X31" s="128"/>
      <c r="Y31" s="109"/>
      <c r="Z31" s="110"/>
      <c r="AA31" s="111"/>
      <c r="AB31" s="83"/>
      <c r="AC31" s="129">
        <v>29</v>
      </c>
      <c r="AD31" s="130" t="s">
        <v>92</v>
      </c>
      <c r="AE31" s="131"/>
      <c r="AF31" s="132" t="s">
        <v>88</v>
      </c>
      <c r="AG31" s="125">
        <v>29</v>
      </c>
      <c r="AH31" s="126" t="s">
        <v>95</v>
      </c>
      <c r="AI31" s="127"/>
      <c r="AJ31" s="135"/>
      <c r="AK31" s="147">
        <v>29</v>
      </c>
      <c r="AL31" s="157" t="s">
        <v>94</v>
      </c>
      <c r="AM31" s="158" t="s">
        <v>151</v>
      </c>
      <c r="AN31" s="159"/>
      <c r="AO31" s="129">
        <v>29</v>
      </c>
      <c r="AP31" s="130" t="s">
        <v>97</v>
      </c>
      <c r="AQ31" s="131"/>
      <c r="AR31" s="136" t="s">
        <v>88</v>
      </c>
      <c r="AS31" s="147">
        <v>29</v>
      </c>
      <c r="AT31" s="152" t="s">
        <v>95</v>
      </c>
      <c r="AU31" s="153" t="s">
        <v>69</v>
      </c>
      <c r="AV31" s="154"/>
    </row>
    <row r="32" spans="1:49" x14ac:dyDescent="0.25">
      <c r="A32" s="125">
        <v>30</v>
      </c>
      <c r="B32" s="126" t="s">
        <v>96</v>
      </c>
      <c r="C32" s="127"/>
      <c r="D32" s="138" t="s">
        <v>88</v>
      </c>
      <c r="E32" s="125">
        <v>30</v>
      </c>
      <c r="F32" s="126" t="s">
        <v>93</v>
      </c>
      <c r="G32" s="221" t="s">
        <v>179</v>
      </c>
      <c r="H32" s="135">
        <v>40</v>
      </c>
      <c r="I32" s="125">
        <v>30</v>
      </c>
      <c r="J32" s="126" t="s">
        <v>91</v>
      </c>
      <c r="K32" s="222" t="s">
        <v>188</v>
      </c>
      <c r="L32" s="128"/>
      <c r="M32" s="129">
        <v>30</v>
      </c>
      <c r="N32" s="130" t="s">
        <v>92</v>
      </c>
      <c r="O32" s="131"/>
      <c r="P32" s="132" t="s">
        <v>88</v>
      </c>
      <c r="Q32" s="147">
        <v>30</v>
      </c>
      <c r="R32" s="148" t="s">
        <v>93</v>
      </c>
      <c r="S32" s="149" t="s">
        <v>196</v>
      </c>
      <c r="T32" s="150">
        <v>1</v>
      </c>
      <c r="U32" s="125">
        <v>30</v>
      </c>
      <c r="V32" s="126" t="s">
        <v>94</v>
      </c>
      <c r="W32" s="127"/>
      <c r="X32" s="128"/>
      <c r="Y32" s="112"/>
      <c r="Z32" s="113"/>
      <c r="AA32" s="114"/>
      <c r="AB32" s="82"/>
      <c r="AC32" s="129">
        <v>30</v>
      </c>
      <c r="AD32" s="130" t="s">
        <v>97</v>
      </c>
      <c r="AE32" s="131"/>
      <c r="AF32" s="132" t="s">
        <v>88</v>
      </c>
      <c r="AG32" s="125">
        <v>30</v>
      </c>
      <c r="AH32" s="126" t="s">
        <v>91</v>
      </c>
      <c r="AI32" s="222" t="s">
        <v>175</v>
      </c>
      <c r="AJ32" s="135" t="s">
        <v>88</v>
      </c>
      <c r="AK32" s="147">
        <v>30</v>
      </c>
      <c r="AL32" s="148" t="s">
        <v>96</v>
      </c>
      <c r="AM32" s="149" t="s">
        <v>158</v>
      </c>
      <c r="AN32" s="150" t="s">
        <v>88</v>
      </c>
      <c r="AO32" s="147">
        <v>30</v>
      </c>
      <c r="AP32" s="148" t="s">
        <v>93</v>
      </c>
      <c r="AQ32" s="149" t="s">
        <v>196</v>
      </c>
      <c r="AR32" s="151">
        <v>27</v>
      </c>
      <c r="AS32" s="147">
        <v>30</v>
      </c>
      <c r="AT32" s="152" t="s">
        <v>91</v>
      </c>
      <c r="AU32" s="153" t="s">
        <v>69</v>
      </c>
      <c r="AV32" s="154" t="s">
        <v>88</v>
      </c>
    </row>
    <row r="33" spans="1:49" ht="39" x14ac:dyDescent="0.25">
      <c r="A33" s="161">
        <v>31</v>
      </c>
      <c r="B33" s="162" t="s">
        <v>92</v>
      </c>
      <c r="C33" s="163"/>
      <c r="D33" s="164" t="s">
        <v>88</v>
      </c>
      <c r="E33" s="112"/>
      <c r="F33" s="113"/>
      <c r="G33" s="114"/>
      <c r="H33" s="137"/>
      <c r="I33" s="112">
        <v>31</v>
      </c>
      <c r="J33" s="113" t="s">
        <v>94</v>
      </c>
      <c r="K33" s="178" t="s">
        <v>172</v>
      </c>
      <c r="L33" s="165"/>
      <c r="M33" s="112"/>
      <c r="N33" s="113"/>
      <c r="O33" s="114"/>
      <c r="P33" s="82"/>
      <c r="Q33" s="166">
        <v>31</v>
      </c>
      <c r="R33" s="167" t="s">
        <v>95</v>
      </c>
      <c r="S33" s="149" t="s">
        <v>196</v>
      </c>
      <c r="T33" s="168" t="s">
        <v>88</v>
      </c>
      <c r="U33" s="112">
        <v>31</v>
      </c>
      <c r="V33" s="113" t="s">
        <v>96</v>
      </c>
      <c r="W33" s="220" t="s">
        <v>177</v>
      </c>
      <c r="X33" s="165" t="s">
        <v>88</v>
      </c>
      <c r="AC33" s="166">
        <v>31</v>
      </c>
      <c r="AD33" s="167" t="s">
        <v>93</v>
      </c>
      <c r="AE33" s="191" t="s">
        <v>159</v>
      </c>
      <c r="AF33" s="168">
        <v>14</v>
      </c>
      <c r="AG33" s="112"/>
      <c r="AH33" s="113"/>
      <c r="AI33" s="114"/>
      <c r="AJ33" s="82"/>
      <c r="AK33" s="169">
        <v>31</v>
      </c>
      <c r="AL33" s="170" t="s">
        <v>92</v>
      </c>
      <c r="AM33" s="171"/>
      <c r="AN33" s="172" t="s">
        <v>88</v>
      </c>
      <c r="AO33" s="112"/>
      <c r="AP33" s="113"/>
      <c r="AQ33" s="114"/>
      <c r="AR33" s="82"/>
      <c r="AS33" s="166">
        <v>31</v>
      </c>
      <c r="AT33" s="173" t="s">
        <v>94</v>
      </c>
      <c r="AU33" s="224" t="s">
        <v>194</v>
      </c>
      <c r="AV33" s="174"/>
    </row>
    <row r="34" spans="1:49" x14ac:dyDescent="0.25">
      <c r="A34" s="192"/>
      <c r="B34" s="192"/>
      <c r="C34" s="192"/>
      <c r="D34" s="193">
        <v>17</v>
      </c>
      <c r="E34" s="192"/>
      <c r="F34" s="192"/>
      <c r="G34" s="192"/>
      <c r="H34" s="192">
        <v>21</v>
      </c>
      <c r="I34" s="192"/>
      <c r="J34" s="192"/>
      <c r="K34" s="192"/>
      <c r="L34" s="192">
        <v>18</v>
      </c>
      <c r="M34" s="192"/>
      <c r="N34" s="192"/>
      <c r="O34" s="192"/>
      <c r="P34" s="192">
        <v>21</v>
      </c>
      <c r="Q34" s="192"/>
      <c r="R34" s="192"/>
      <c r="S34" s="192"/>
      <c r="T34" s="192">
        <v>15</v>
      </c>
      <c r="U34" s="192"/>
      <c r="V34" s="192"/>
      <c r="W34" s="192"/>
      <c r="X34" s="192">
        <v>20</v>
      </c>
      <c r="Y34" s="192"/>
      <c r="Z34" s="192"/>
      <c r="AA34" s="192"/>
      <c r="AB34" s="192">
        <v>15</v>
      </c>
      <c r="AC34" s="192"/>
      <c r="AD34" s="192"/>
      <c r="AE34" s="192"/>
      <c r="AF34" s="192">
        <v>20</v>
      </c>
      <c r="AG34" s="192"/>
      <c r="AH34" s="192"/>
      <c r="AI34" s="192"/>
      <c r="AJ34" s="192">
        <v>16</v>
      </c>
      <c r="AK34" s="192"/>
      <c r="AL34" s="192"/>
      <c r="AM34" s="192"/>
      <c r="AN34" s="192">
        <v>20</v>
      </c>
      <c r="AO34" s="192"/>
      <c r="AP34" s="192"/>
      <c r="AQ34" s="192"/>
      <c r="AR34" s="192">
        <v>17</v>
      </c>
      <c r="AS34" s="192"/>
      <c r="AT34" s="192"/>
      <c r="AU34" s="192"/>
      <c r="AV34" s="192"/>
      <c r="AW34" s="192">
        <f>SUM(D34:AV34)</f>
        <v>200</v>
      </c>
    </row>
    <row r="35" spans="1:49" x14ac:dyDescent="0.25">
      <c r="S35" s="228" t="s">
        <v>259</v>
      </c>
      <c r="T35" s="228"/>
      <c r="U35" s="228"/>
      <c r="V35" s="228"/>
      <c r="W35" s="228" t="s">
        <v>260</v>
      </c>
      <c r="X35" s="228"/>
      <c r="Y35" s="228"/>
      <c r="Z35" s="228"/>
      <c r="AA35" s="228" t="s">
        <v>261</v>
      </c>
      <c r="AB35" s="228"/>
      <c r="AC35" s="228"/>
      <c r="AD35" s="228"/>
      <c r="AE35" s="228" t="s">
        <v>262</v>
      </c>
      <c r="AF35" s="228"/>
      <c r="AG35" s="228"/>
      <c r="AH35" s="228"/>
      <c r="AI35" s="228" t="s">
        <v>263</v>
      </c>
      <c r="AJ35" s="228"/>
      <c r="AK35" s="228"/>
      <c r="AL35" s="228"/>
      <c r="AM35" s="228"/>
      <c r="AN35" s="228"/>
      <c r="AO35" s="228"/>
      <c r="AP35" s="228"/>
      <c r="AQ35" s="228"/>
      <c r="AR35" s="228"/>
      <c r="AS35" s="228"/>
      <c r="AT35" s="228"/>
      <c r="AU35" s="228"/>
      <c r="AV35" s="228"/>
      <c r="AW35" s="228"/>
    </row>
  </sheetData>
  <mergeCells count="1">
    <mergeCell ref="AM20:AN20"/>
  </mergeCells>
  <pageMargins left="0.70866141732283472" right="0.70866141732283472" top="0.74803149606299213" bottom="0.74803149606299213" header="0.31496062992125984" footer="0.31496062992125984"/>
  <pageSetup paperSize="9" scale="3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I34" sqref="I34"/>
    </sheetView>
  </sheetViews>
  <sheetFormatPr defaultColWidth="11" defaultRowHeight="15.75" x14ac:dyDescent="0.25"/>
  <sheetData/>
  <sheetProtection sheet="1" objects="1" scenarios="1"/>
  <phoneticPr fontId="4" type="noConversion"/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H51"/>
  <sheetViews>
    <sheetView zoomScale="150" zoomScaleNormal="150" zoomScalePageLayoutView="150" workbookViewId="0">
      <selection activeCell="C18" sqref="C18"/>
    </sheetView>
  </sheetViews>
  <sheetFormatPr defaultColWidth="11" defaultRowHeight="15.75" x14ac:dyDescent="0.25"/>
  <cols>
    <col min="1" max="1" width="4.625" customWidth="1"/>
    <col min="2" max="2" width="34.375" customWidth="1"/>
    <col min="3" max="3" width="12.5" customWidth="1"/>
    <col min="4" max="4" width="14.625" bestFit="1" customWidth="1"/>
    <col min="5" max="5" width="11.125" customWidth="1"/>
  </cols>
  <sheetData>
    <row r="2" spans="2:8" x14ac:dyDescent="0.25">
      <c r="B2" s="1" t="s">
        <v>1</v>
      </c>
      <c r="C2" s="270" t="e">
        <f>#REF!</f>
        <v>#REF!</v>
      </c>
      <c r="D2" s="271"/>
      <c r="E2" s="272"/>
    </row>
    <row r="3" spans="2:8" x14ac:dyDescent="0.25">
      <c r="B3" s="1" t="s">
        <v>2</v>
      </c>
      <c r="C3" s="273" t="e">
        <f>#REF!</f>
        <v>#REF!</v>
      </c>
      <c r="D3" s="273"/>
      <c r="E3" s="273"/>
    </row>
    <row r="4" spans="2:8" x14ac:dyDescent="0.25">
      <c r="B4" s="1" t="s">
        <v>3</v>
      </c>
      <c r="C4" s="273" t="e">
        <f>#REF!</f>
        <v>#REF!</v>
      </c>
      <c r="D4" s="273"/>
      <c r="E4" s="273"/>
    </row>
    <row r="5" spans="2:8" ht="33.950000000000003" customHeight="1" x14ac:dyDescent="0.25">
      <c r="B5" s="274" t="s">
        <v>21</v>
      </c>
      <c r="C5" s="274"/>
      <c r="D5" s="274"/>
      <c r="E5" s="274"/>
    </row>
    <row r="6" spans="2:8" ht="15" customHeight="1" x14ac:dyDescent="0.25">
      <c r="B6" s="2"/>
      <c r="C6" s="2"/>
      <c r="D6" s="2"/>
      <c r="E6" s="2"/>
    </row>
    <row r="7" spans="2:8" ht="21" x14ac:dyDescent="0.35">
      <c r="B7" s="4" t="s">
        <v>0</v>
      </c>
    </row>
    <row r="8" spans="2:8" ht="31.5" x14ac:dyDescent="0.5">
      <c r="B8" s="279" t="s">
        <v>38</v>
      </c>
      <c r="C8" s="280"/>
      <c r="D8" s="280"/>
      <c r="E8" s="280"/>
      <c r="F8" s="280"/>
      <c r="G8" s="280"/>
      <c r="H8" s="281"/>
    </row>
    <row r="9" spans="2:8" ht="15" customHeight="1" x14ac:dyDescent="0.25">
      <c r="B9" s="282" t="s">
        <v>42</v>
      </c>
      <c r="C9" s="283"/>
      <c r="D9" s="283"/>
      <c r="E9" s="283"/>
      <c r="F9" s="283"/>
      <c r="G9" s="283"/>
      <c r="H9" s="284"/>
    </row>
    <row r="10" spans="2:8" ht="31.5" x14ac:dyDescent="0.25">
      <c r="B10" s="23" t="s">
        <v>22</v>
      </c>
      <c r="C10" s="24" t="s">
        <v>23</v>
      </c>
      <c r="D10" s="25" t="s">
        <v>24</v>
      </c>
      <c r="E10" s="25" t="s">
        <v>25</v>
      </c>
      <c r="F10" s="25" t="s">
        <v>26</v>
      </c>
      <c r="G10" s="25" t="s">
        <v>27</v>
      </c>
      <c r="H10" s="25" t="s">
        <v>28</v>
      </c>
    </row>
    <row r="11" spans="2:8" ht="15" customHeight="1" x14ac:dyDescent="0.25">
      <c r="B11" s="22">
        <v>1</v>
      </c>
      <c r="C11" s="26">
        <v>15</v>
      </c>
      <c r="D11" s="26" t="s">
        <v>33</v>
      </c>
      <c r="E11" s="28"/>
      <c r="F11" s="28" t="s">
        <v>33</v>
      </c>
      <c r="G11" s="28"/>
      <c r="H11" s="26" t="s">
        <v>33</v>
      </c>
    </row>
    <row r="12" spans="2:8" ht="15" customHeight="1" x14ac:dyDescent="0.25">
      <c r="B12" s="22">
        <v>2</v>
      </c>
      <c r="C12" s="26">
        <v>60</v>
      </c>
      <c r="D12" s="26" t="s">
        <v>5</v>
      </c>
      <c r="E12" s="28" t="s">
        <v>4</v>
      </c>
      <c r="F12" s="28" t="s">
        <v>7</v>
      </c>
      <c r="G12" s="28" t="s">
        <v>31</v>
      </c>
      <c r="H12" s="28" t="s">
        <v>35</v>
      </c>
    </row>
    <row r="13" spans="2:8" ht="15" customHeight="1" x14ac:dyDescent="0.25">
      <c r="B13" s="22">
        <v>3</v>
      </c>
      <c r="C13" s="26">
        <v>60</v>
      </c>
      <c r="D13" s="26" t="s">
        <v>29</v>
      </c>
      <c r="E13" s="28" t="s">
        <v>5</v>
      </c>
      <c r="F13" s="28" t="s">
        <v>4</v>
      </c>
      <c r="G13" s="28" t="s">
        <v>31</v>
      </c>
      <c r="H13" s="28" t="s">
        <v>6</v>
      </c>
    </row>
    <row r="14" spans="2:8" ht="15" customHeight="1" x14ac:dyDescent="0.25">
      <c r="B14" s="22">
        <v>4</v>
      </c>
      <c r="C14" s="26">
        <v>60</v>
      </c>
      <c r="D14" s="26" t="s">
        <v>7</v>
      </c>
      <c r="E14" s="28" t="s">
        <v>5</v>
      </c>
      <c r="F14" s="28" t="s">
        <v>4</v>
      </c>
      <c r="G14" s="28" t="s">
        <v>4</v>
      </c>
      <c r="H14" s="28" t="s">
        <v>6</v>
      </c>
    </row>
    <row r="15" spans="2:8" ht="15" customHeight="1" x14ac:dyDescent="0.25">
      <c r="B15" s="22">
        <v>5</v>
      </c>
      <c r="C15" s="26">
        <v>45</v>
      </c>
      <c r="D15" s="26"/>
      <c r="E15" s="28" t="s">
        <v>32</v>
      </c>
      <c r="F15" s="28" t="s">
        <v>34</v>
      </c>
      <c r="G15" s="28"/>
      <c r="H15" s="28" t="s">
        <v>4</v>
      </c>
    </row>
    <row r="16" spans="2:8" ht="15" customHeight="1" x14ac:dyDescent="0.25">
      <c r="B16" s="29">
        <v>6</v>
      </c>
      <c r="C16" s="26">
        <v>45</v>
      </c>
      <c r="D16" s="28" t="s">
        <v>30</v>
      </c>
      <c r="E16" s="28" t="s">
        <v>32</v>
      </c>
      <c r="F16" s="28" t="s">
        <v>34</v>
      </c>
      <c r="G16" s="28"/>
      <c r="H16" s="26"/>
    </row>
    <row r="17" spans="1:8" ht="15" customHeight="1" x14ac:dyDescent="0.25">
      <c r="B17" s="29">
        <v>7</v>
      </c>
      <c r="C17" s="26">
        <v>45</v>
      </c>
      <c r="D17" s="28" t="s">
        <v>30</v>
      </c>
      <c r="E17" s="28"/>
      <c r="F17" s="28"/>
      <c r="G17" s="28"/>
      <c r="H17" s="26"/>
    </row>
    <row r="18" spans="1:8" ht="15" customHeight="1" x14ac:dyDescent="0.25">
      <c r="B18" s="29">
        <v>8</v>
      </c>
      <c r="C18" s="26">
        <v>45</v>
      </c>
      <c r="D18" s="28"/>
      <c r="E18" s="28"/>
      <c r="F18" s="28"/>
      <c r="G18" s="28"/>
      <c r="H18" s="27"/>
    </row>
    <row r="19" spans="1:8" ht="15" customHeight="1" x14ac:dyDescent="0.25">
      <c r="B19" s="285" t="s">
        <v>44</v>
      </c>
      <c r="C19" s="286"/>
      <c r="D19" s="28">
        <v>38</v>
      </c>
      <c r="E19" s="28">
        <v>40</v>
      </c>
      <c r="F19" s="28">
        <v>39</v>
      </c>
      <c r="G19" s="28">
        <v>39</v>
      </c>
      <c r="H19" s="28">
        <v>38</v>
      </c>
    </row>
    <row r="20" spans="1:8" ht="15" customHeight="1" x14ac:dyDescent="0.25">
      <c r="B20" s="287" t="s">
        <v>45</v>
      </c>
      <c r="C20" s="288"/>
      <c r="D20" s="25" t="e">
        <f>(IF(D11&lt;&gt;0,D19*$C$24)+IF(D12&lt;&gt;0,$C$25*D19)+IF(D13&lt;&gt;0,D19*$C$26)+IF(D14&lt;&gt;0,D19*$C$27)+IF(D15&lt;&gt;0,D19*$C$28)+IF(D16&lt;&gt;0,D19*$C$29)+IF(D17&lt;&gt;0,D19*$C$30)+IF(D18&lt;&gt;0,D19*$C$31))/60</f>
        <v>#VALUE!</v>
      </c>
      <c r="E20" s="25" t="e">
        <f>(IF(E11&lt;&gt;0,E19*$C$24)+IF(E12&lt;&gt;0,$C$25*E19)+IF(E13&lt;&gt;0,E19*$C$26)+IF(E14&lt;&gt;0,E19*$C$27)+IF(E15&lt;&gt;0,E19*$C$28)+IF(E16&lt;&gt;0,E19*$C$29)+IF(E17&lt;&gt;0,E19*$C$30)+IF(E18&lt;&gt;0,E19*$C$31))/60</f>
        <v>#VALUE!</v>
      </c>
      <c r="F20" s="25" t="e">
        <f>(IF(F11&lt;&gt;0,F19*$C$24)+IF(F12&lt;&gt;0,$C$25*F19)+IF(F13&lt;&gt;0,F19*$C$26)+IF(F14&lt;&gt;0,F19*$C$27)+IF(F15&lt;&gt;0,F19*$C$28)+IF(F16&lt;&gt;0,F19*$C$29)+IF(F17&lt;&gt;0,F19*$C$30)+IF(F18&lt;&gt;0,F19*$C$31))/60</f>
        <v>#VALUE!</v>
      </c>
      <c r="G20" s="25" t="e">
        <f>(IF(G11&lt;&gt;0,G19*$C$24)+IF(G12&lt;&gt;0,$C$25*G19)+IF(G13&lt;&gt;0,G19*$C$26)+IF(G14&lt;&gt;0,G19*$C$27)+IF(G15&lt;&gt;0,G19*$C$28)+IF(G16&lt;&gt;0,G19*$C$29)+IF(G17&lt;&gt;0,G19*$C$30)+IF(G18&lt;&gt;0,G19*$C$31))/60</f>
        <v>#VALUE!</v>
      </c>
      <c r="H20" s="25" t="e">
        <f>(IF(H11&lt;&gt;0,H19*$C$24)+IF(H12&lt;&gt;0,$C$25*H19)+IF(H13&lt;&gt;0,H19*$C$26)+IF(H14&lt;&gt;0,H19*$C$27)+IF(H15&lt;&gt;0,H19*$C$28)+IF(H16&lt;&gt;0,H19*$C$29)+IF(H17&lt;&gt;0,H19*$C$30)+IF(H18&lt;&gt;0,H19*$C$31))/60</f>
        <v>#VALUE!</v>
      </c>
    </row>
    <row r="21" spans="1:8" ht="15" customHeight="1" x14ac:dyDescent="0.25">
      <c r="B21" s="289" t="s">
        <v>43</v>
      </c>
      <c r="C21" s="292" t="s">
        <v>36</v>
      </c>
      <c r="D21" s="293"/>
      <c r="E21" s="293"/>
      <c r="F21" s="293"/>
      <c r="G21" s="294"/>
      <c r="H21" s="25" t="e">
        <f>SUM(D20:H20)</f>
        <v>#VALUE!</v>
      </c>
    </row>
    <row r="22" spans="1:8" ht="15" customHeight="1" x14ac:dyDescent="0.25">
      <c r="B22" s="290"/>
      <c r="C22" s="295" t="s">
        <v>39</v>
      </c>
      <c r="D22" s="296"/>
      <c r="E22" s="296"/>
      <c r="F22" s="296"/>
      <c r="G22" s="297"/>
      <c r="H22" s="28">
        <v>32</v>
      </c>
    </row>
    <row r="23" spans="1:8" ht="15" customHeight="1" x14ac:dyDescent="0.25">
      <c r="B23" s="290"/>
      <c r="C23" s="295" t="s">
        <v>40</v>
      </c>
      <c r="D23" s="296"/>
      <c r="E23" s="296"/>
      <c r="F23" s="296"/>
      <c r="G23" s="297"/>
      <c r="H23" s="28">
        <v>12</v>
      </c>
    </row>
    <row r="24" spans="1:8" ht="15" customHeight="1" x14ac:dyDescent="0.25">
      <c r="A24" s="269"/>
      <c r="B24" s="290"/>
      <c r="C24" s="295" t="s">
        <v>41</v>
      </c>
      <c r="D24" s="296"/>
      <c r="E24" s="296"/>
      <c r="F24" s="296"/>
      <c r="G24" s="297"/>
      <c r="H24" s="28">
        <v>65</v>
      </c>
    </row>
    <row r="25" spans="1:8" ht="15" customHeight="1" x14ac:dyDescent="0.25">
      <c r="A25" s="269"/>
      <c r="B25" s="291"/>
      <c r="C25" s="292" t="s">
        <v>37</v>
      </c>
      <c r="D25" s="293"/>
      <c r="E25" s="293"/>
      <c r="F25" s="293"/>
      <c r="G25" s="294"/>
      <c r="H25" s="25" t="e">
        <f>SUM(H21:H24)</f>
        <v>#VALUE!</v>
      </c>
    </row>
    <row r="26" spans="1:8" x14ac:dyDescent="0.25">
      <c r="A26" s="269"/>
      <c r="B26" s="12" t="s">
        <v>10</v>
      </c>
      <c r="C26" s="13">
        <v>5</v>
      </c>
      <c r="D26" s="13">
        <v>8</v>
      </c>
      <c r="E26" s="16">
        <f>D26*C26</f>
        <v>40</v>
      </c>
    </row>
    <row r="27" spans="1:8" ht="16.5" thickBot="1" x14ac:dyDescent="0.3">
      <c r="A27" s="269"/>
      <c r="B27" s="18"/>
      <c r="C27" s="19"/>
      <c r="D27" s="19"/>
      <c r="E27" s="20"/>
    </row>
    <row r="28" spans="1:8" ht="16.5" thickBot="1" x14ac:dyDescent="0.3">
      <c r="A28" s="269"/>
    </row>
    <row r="29" spans="1:8" ht="16.5" thickBot="1" x14ac:dyDescent="0.3">
      <c r="B29" s="9" t="s">
        <v>9</v>
      </c>
      <c r="C29" s="10" t="s">
        <v>8</v>
      </c>
      <c r="D29" s="10" t="s">
        <v>11</v>
      </c>
      <c r="E29" s="11" t="s">
        <v>12</v>
      </c>
    </row>
    <row r="30" spans="1:8" x14ac:dyDescent="0.25">
      <c r="B30" s="12" t="s">
        <v>20</v>
      </c>
      <c r="C30" s="13">
        <v>1</v>
      </c>
      <c r="D30" s="13">
        <v>7</v>
      </c>
      <c r="E30" s="16">
        <f>D30*C30</f>
        <v>7</v>
      </c>
    </row>
    <row r="31" spans="1:8" x14ac:dyDescent="0.25">
      <c r="B31" s="14" t="s">
        <v>15</v>
      </c>
      <c r="C31" s="15">
        <v>1</v>
      </c>
      <c r="D31" s="15">
        <v>8</v>
      </c>
      <c r="E31" s="16">
        <f>D31*C31</f>
        <v>8</v>
      </c>
    </row>
    <row r="32" spans="1:8" ht="16.5" thickBot="1" x14ac:dyDescent="0.3">
      <c r="B32" s="18"/>
      <c r="C32" s="19"/>
      <c r="D32" s="19"/>
      <c r="E32" s="21">
        <f>D32*C32</f>
        <v>0</v>
      </c>
    </row>
    <row r="33" spans="1:5" ht="16.5" thickBot="1" x14ac:dyDescent="0.3">
      <c r="B33" s="6" t="s">
        <v>18</v>
      </c>
      <c r="C33" s="7"/>
      <c r="D33" s="7"/>
      <c r="E33" s="8" t="e">
        <f>SUM(E10:E32)</f>
        <v>#VALUE!</v>
      </c>
    </row>
    <row r="35" spans="1:5" ht="21.75" thickBot="1" x14ac:dyDescent="0.4">
      <c r="A35" s="269"/>
      <c r="B35" s="5" t="s">
        <v>13</v>
      </c>
    </row>
    <row r="36" spans="1:5" ht="16.5" thickBot="1" x14ac:dyDescent="0.3">
      <c r="A36" s="269"/>
      <c r="B36" s="300" t="s">
        <v>13</v>
      </c>
      <c r="C36" s="301"/>
      <c r="D36" s="11" t="s">
        <v>17</v>
      </c>
    </row>
    <row r="37" spans="1:5" x14ac:dyDescent="0.25">
      <c r="A37" s="269"/>
      <c r="B37" s="275" t="s">
        <v>14</v>
      </c>
      <c r="C37" s="276"/>
      <c r="D37" s="16"/>
      <c r="E37" s="3"/>
    </row>
    <row r="38" spans="1:5" x14ac:dyDescent="0.25">
      <c r="A38" s="269"/>
      <c r="B38" s="277" t="s">
        <v>16</v>
      </c>
      <c r="C38" s="278"/>
      <c r="D38" s="17"/>
      <c r="E38" s="3"/>
    </row>
    <row r="39" spans="1:5" x14ac:dyDescent="0.25">
      <c r="B39" s="277" t="s">
        <v>19</v>
      </c>
      <c r="C39" s="278"/>
      <c r="D39" s="17"/>
      <c r="E39" s="3"/>
    </row>
    <row r="40" spans="1:5" x14ac:dyDescent="0.25">
      <c r="B40" s="277"/>
      <c r="C40" s="278"/>
      <c r="D40" s="17"/>
      <c r="E40" s="3"/>
    </row>
    <row r="41" spans="1:5" x14ac:dyDescent="0.25">
      <c r="B41" s="277"/>
      <c r="C41" s="278"/>
      <c r="D41" s="17"/>
      <c r="E41" s="3"/>
    </row>
    <row r="42" spans="1:5" x14ac:dyDescent="0.25">
      <c r="B42" s="277"/>
      <c r="C42" s="278"/>
      <c r="D42" s="17"/>
      <c r="E42" s="3"/>
    </row>
    <row r="43" spans="1:5" x14ac:dyDescent="0.25">
      <c r="B43" s="277"/>
      <c r="C43" s="278"/>
      <c r="D43" s="17"/>
      <c r="E43" s="3"/>
    </row>
    <row r="44" spans="1:5" x14ac:dyDescent="0.25">
      <c r="B44" s="277"/>
      <c r="C44" s="278"/>
      <c r="D44" s="17"/>
      <c r="E44" s="3"/>
    </row>
    <row r="45" spans="1:5" x14ac:dyDescent="0.25">
      <c r="B45" s="277"/>
      <c r="C45" s="278"/>
      <c r="D45" s="17"/>
      <c r="E45" s="3"/>
    </row>
    <row r="46" spans="1:5" x14ac:dyDescent="0.25">
      <c r="B46" s="277"/>
      <c r="C46" s="278"/>
      <c r="D46" s="17"/>
      <c r="E46" s="3"/>
    </row>
    <row r="47" spans="1:5" x14ac:dyDescent="0.25">
      <c r="B47" s="277"/>
      <c r="C47" s="278"/>
      <c r="D47" s="17"/>
      <c r="E47" s="3"/>
    </row>
    <row r="48" spans="1:5" x14ac:dyDescent="0.25">
      <c r="B48" s="277"/>
      <c r="C48" s="278"/>
      <c r="D48" s="17"/>
      <c r="E48" s="3"/>
    </row>
    <row r="49" spans="2:5" x14ac:dyDescent="0.25">
      <c r="B49" s="277"/>
      <c r="C49" s="278"/>
      <c r="D49" s="17"/>
      <c r="E49" s="3"/>
    </row>
    <row r="50" spans="2:5" x14ac:dyDescent="0.25">
      <c r="B50" s="277"/>
      <c r="C50" s="278"/>
      <c r="D50" s="17"/>
      <c r="E50" s="3"/>
    </row>
    <row r="51" spans="2:5" ht="16.5" thickBot="1" x14ac:dyDescent="0.3">
      <c r="B51" s="298"/>
      <c r="C51" s="299"/>
      <c r="D51" s="20"/>
      <c r="E51" s="3"/>
    </row>
  </sheetData>
  <mergeCells count="32">
    <mergeCell ref="C24:G24"/>
    <mergeCell ref="C25:G25"/>
    <mergeCell ref="B49:C49"/>
    <mergeCell ref="B50:C50"/>
    <mergeCell ref="B51:C51"/>
    <mergeCell ref="B36:C36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A24:A28"/>
    <mergeCell ref="A35:A38"/>
    <mergeCell ref="C2:E2"/>
    <mergeCell ref="C3:E3"/>
    <mergeCell ref="C4:E4"/>
    <mergeCell ref="B5:E5"/>
    <mergeCell ref="B37:C37"/>
    <mergeCell ref="B38:C38"/>
    <mergeCell ref="B8:H8"/>
    <mergeCell ref="B9:H9"/>
    <mergeCell ref="B19:C19"/>
    <mergeCell ref="B20:C20"/>
    <mergeCell ref="B21:B25"/>
    <mergeCell ref="C21:G21"/>
    <mergeCell ref="C22:G22"/>
    <mergeCell ref="C23:G23"/>
  </mergeCells>
  <phoneticPr fontId="4" type="noConversion"/>
  <pageMargins left="0.75" right="0.75" top="1" bottom="1" header="0.5" footer="0.5"/>
  <pageSetup paperSize="9" scale="85" orientation="portrait" horizontalDpi="4294967292" verticalDpi="4294967292"/>
  <rowBreaks count="2" manualBreakCount="2">
    <brk id="51" max="16383" man="1"/>
    <brk id="52" max="16383" man="1"/>
  </rowBreaks>
  <colBreaks count="1" manualBreakCount="1">
    <brk id="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11" defaultRowHeight="15.75" x14ac:dyDescent="0.25"/>
  <sheetData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E474E-F87E-F047-85E6-CA361FBE7FF6}">
  <sheetPr>
    <pageSetUpPr fitToPage="1"/>
  </sheetPr>
  <dimension ref="A1:Y34"/>
  <sheetViews>
    <sheetView workbookViewId="0">
      <selection activeCell="O10" sqref="O10"/>
    </sheetView>
  </sheetViews>
  <sheetFormatPr defaultColWidth="11" defaultRowHeight="15.75" x14ac:dyDescent="0.25"/>
  <cols>
    <col min="1" max="2" width="3.625" customWidth="1"/>
    <col min="3" max="3" width="24.375" customWidth="1"/>
    <col min="4" max="6" width="3.625" customWidth="1"/>
    <col min="7" max="7" width="23" customWidth="1"/>
    <col min="8" max="10" width="3.625" customWidth="1"/>
    <col min="11" max="11" width="21.875" customWidth="1"/>
    <col min="12" max="12" width="5.75" customWidth="1"/>
    <col min="13" max="14" width="3.625" customWidth="1"/>
    <col min="15" max="15" width="27.625" customWidth="1"/>
    <col min="16" max="18" width="3.625" customWidth="1"/>
    <col min="19" max="19" width="18.875" customWidth="1"/>
    <col min="20" max="22" width="3.625" customWidth="1"/>
    <col min="23" max="23" width="18.875" customWidth="1"/>
    <col min="24" max="24" width="3.625" customWidth="1"/>
  </cols>
  <sheetData>
    <row r="1" spans="1:24" ht="30" x14ac:dyDescent="0.4">
      <c r="A1" s="302" t="s">
        <v>168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  <c r="V1" s="303"/>
      <c r="W1" s="303"/>
      <c r="X1" s="304"/>
    </row>
    <row r="2" spans="1:24" ht="18" x14ac:dyDescent="0.25">
      <c r="A2" s="180" t="s">
        <v>46</v>
      </c>
      <c r="B2" s="181"/>
      <c r="C2" s="182"/>
      <c r="D2" s="183"/>
      <c r="E2" s="180" t="s">
        <v>47</v>
      </c>
      <c r="F2" s="181"/>
      <c r="G2" s="182"/>
      <c r="H2" s="183"/>
      <c r="I2" s="184" t="s">
        <v>48</v>
      </c>
      <c r="J2" s="181"/>
      <c r="K2" s="182"/>
      <c r="L2" s="183"/>
      <c r="M2" s="180" t="s">
        <v>49</v>
      </c>
      <c r="N2" s="181"/>
      <c r="O2" s="182"/>
      <c r="P2" s="183"/>
      <c r="Q2" s="180" t="s">
        <v>50</v>
      </c>
      <c r="R2" s="181"/>
      <c r="S2" s="182"/>
      <c r="T2" s="183"/>
      <c r="U2" s="180" t="s">
        <v>51</v>
      </c>
      <c r="V2" s="181"/>
      <c r="W2" s="182"/>
      <c r="X2" s="183"/>
    </row>
    <row r="3" spans="1:24" x14ac:dyDescent="0.25">
      <c r="A3" s="147">
        <v>1</v>
      </c>
      <c r="B3" s="152" t="s">
        <v>94</v>
      </c>
      <c r="C3" s="153" t="s">
        <v>69</v>
      </c>
      <c r="D3" s="156">
        <v>31.285714285714285</v>
      </c>
      <c r="E3" s="129">
        <v>1</v>
      </c>
      <c r="F3" s="130" t="s">
        <v>97</v>
      </c>
      <c r="G3" s="131"/>
      <c r="H3" s="136" t="s">
        <v>88</v>
      </c>
      <c r="I3" s="125">
        <v>1</v>
      </c>
      <c r="J3" s="126" t="s">
        <v>95</v>
      </c>
      <c r="K3" s="221" t="s">
        <v>220</v>
      </c>
      <c r="L3" s="128" t="s">
        <v>88</v>
      </c>
      <c r="M3" s="125"/>
      <c r="N3" s="126" t="s">
        <v>96</v>
      </c>
      <c r="O3" s="178" t="s">
        <v>172</v>
      </c>
      <c r="P3" s="128" t="s">
        <v>88</v>
      </c>
      <c r="Q3" s="129">
        <v>1</v>
      </c>
      <c r="R3" s="130" t="s">
        <v>97</v>
      </c>
      <c r="S3" s="131"/>
      <c r="T3" s="132" t="s">
        <v>88</v>
      </c>
      <c r="U3" s="147">
        <v>1</v>
      </c>
      <c r="V3" s="157" t="s">
        <v>91</v>
      </c>
      <c r="W3" s="158" t="s">
        <v>87</v>
      </c>
      <c r="X3" s="159"/>
    </row>
    <row r="4" spans="1:24" x14ac:dyDescent="0.25">
      <c r="A4" s="147">
        <v>2</v>
      </c>
      <c r="B4" s="152" t="s">
        <v>96</v>
      </c>
      <c r="C4" s="153" t="s">
        <v>69</v>
      </c>
      <c r="D4" s="156" t="s">
        <v>88</v>
      </c>
      <c r="E4" s="125">
        <v>2</v>
      </c>
      <c r="F4" s="126" t="s">
        <v>93</v>
      </c>
      <c r="G4" s="178" t="s">
        <v>205</v>
      </c>
      <c r="H4" s="135">
        <v>36</v>
      </c>
      <c r="I4" s="125">
        <v>2</v>
      </c>
      <c r="J4" s="126" t="s">
        <v>91</v>
      </c>
      <c r="K4" s="222" t="s">
        <v>174</v>
      </c>
      <c r="L4" s="128"/>
      <c r="M4" s="129">
        <v>2</v>
      </c>
      <c r="N4" s="130" t="s">
        <v>92</v>
      </c>
      <c r="O4" s="131"/>
      <c r="P4" s="132" t="s">
        <v>88</v>
      </c>
      <c r="Q4" s="125">
        <v>2</v>
      </c>
      <c r="R4" s="126" t="s">
        <v>93</v>
      </c>
      <c r="S4" s="127" t="s">
        <v>240</v>
      </c>
      <c r="T4" s="128">
        <v>49</v>
      </c>
      <c r="U4" s="147">
        <v>2</v>
      </c>
      <c r="V4" s="148" t="s">
        <v>94</v>
      </c>
      <c r="W4" s="149" t="s">
        <v>196</v>
      </c>
      <c r="X4" s="150"/>
    </row>
    <row r="5" spans="1:24" ht="39" x14ac:dyDescent="0.25">
      <c r="A5" s="129">
        <v>3</v>
      </c>
      <c r="B5" s="130" t="s">
        <v>92</v>
      </c>
      <c r="C5" s="131"/>
      <c r="D5" s="144" t="s">
        <v>88</v>
      </c>
      <c r="E5" s="125">
        <v>3</v>
      </c>
      <c r="F5" s="126" t="s">
        <v>95</v>
      </c>
      <c r="G5" s="218" t="s">
        <v>239</v>
      </c>
      <c r="H5" s="135" t="s">
        <v>88</v>
      </c>
      <c r="I5" s="125">
        <v>3</v>
      </c>
      <c r="J5" s="126" t="s">
        <v>94</v>
      </c>
      <c r="K5" s="127"/>
      <c r="L5" s="128"/>
      <c r="M5" s="129">
        <v>3</v>
      </c>
      <c r="N5" s="130" t="s">
        <v>97</v>
      </c>
      <c r="O5" s="131"/>
      <c r="P5" s="132" t="s">
        <v>88</v>
      </c>
      <c r="Q5" s="125">
        <v>3</v>
      </c>
      <c r="R5" s="126" t="s">
        <v>95</v>
      </c>
      <c r="S5" s="127" t="s">
        <v>222</v>
      </c>
      <c r="T5" s="128" t="s">
        <v>88</v>
      </c>
      <c r="U5" s="147">
        <v>3</v>
      </c>
      <c r="V5" s="148" t="s">
        <v>96</v>
      </c>
      <c r="W5" s="149" t="s">
        <v>196</v>
      </c>
      <c r="X5" s="150" t="s">
        <v>88</v>
      </c>
    </row>
    <row r="6" spans="1:24" ht="26.25" x14ac:dyDescent="0.25">
      <c r="A6" s="129">
        <v>4</v>
      </c>
      <c r="B6" s="130" t="s">
        <v>97</v>
      </c>
      <c r="C6" s="131"/>
      <c r="D6" s="144" t="s">
        <v>88</v>
      </c>
      <c r="E6" s="125">
        <v>4</v>
      </c>
      <c r="F6" s="126" t="s">
        <v>91</v>
      </c>
      <c r="G6" s="218" t="s">
        <v>221</v>
      </c>
      <c r="H6" s="135"/>
      <c r="I6" s="125">
        <v>4</v>
      </c>
      <c r="J6" s="126" t="s">
        <v>96</v>
      </c>
      <c r="K6" s="127"/>
      <c r="L6" s="128" t="s">
        <v>88</v>
      </c>
      <c r="M6" s="125">
        <v>4</v>
      </c>
      <c r="N6" s="126" t="s">
        <v>93</v>
      </c>
      <c r="O6" s="127"/>
      <c r="P6" s="128">
        <v>45</v>
      </c>
      <c r="Q6" s="125">
        <v>4</v>
      </c>
      <c r="R6" s="126" t="s">
        <v>91</v>
      </c>
      <c r="S6" s="222" t="s">
        <v>186</v>
      </c>
      <c r="T6" s="128"/>
      <c r="U6" s="129">
        <v>4</v>
      </c>
      <c r="V6" s="130" t="s">
        <v>92</v>
      </c>
      <c r="W6" s="131"/>
      <c r="X6" s="132" t="s">
        <v>88</v>
      </c>
    </row>
    <row r="7" spans="1:24" ht="39" x14ac:dyDescent="0.25">
      <c r="A7" s="176">
        <v>5</v>
      </c>
      <c r="B7" s="177" t="s">
        <v>93</v>
      </c>
      <c r="C7" s="216" t="s">
        <v>160</v>
      </c>
      <c r="D7" s="175">
        <v>32</v>
      </c>
      <c r="E7" s="125">
        <v>5</v>
      </c>
      <c r="F7" s="126" t="s">
        <v>94</v>
      </c>
      <c r="G7" s="178" t="s">
        <v>284</v>
      </c>
      <c r="H7" s="135"/>
      <c r="I7" s="129">
        <v>5</v>
      </c>
      <c r="J7" s="130" t="s">
        <v>92</v>
      </c>
      <c r="K7" s="131" t="s">
        <v>171</v>
      </c>
      <c r="L7" s="132" t="s">
        <v>88</v>
      </c>
      <c r="M7" s="125">
        <v>5</v>
      </c>
      <c r="N7" s="126" t="s">
        <v>95</v>
      </c>
      <c r="O7" s="226" t="s">
        <v>287</v>
      </c>
      <c r="P7" s="128" t="s">
        <v>88</v>
      </c>
      <c r="Q7" s="125">
        <v>5</v>
      </c>
      <c r="R7" s="126" t="s">
        <v>94</v>
      </c>
      <c r="S7" s="127"/>
      <c r="T7" s="128"/>
      <c r="U7" s="129">
        <v>5</v>
      </c>
      <c r="V7" s="130" t="s">
        <v>97</v>
      </c>
      <c r="W7" s="131"/>
      <c r="X7" s="132" t="s">
        <v>88</v>
      </c>
    </row>
    <row r="8" spans="1:24" x14ac:dyDescent="0.25">
      <c r="A8" s="176">
        <v>6</v>
      </c>
      <c r="B8" s="177" t="s">
        <v>95</v>
      </c>
      <c r="C8" s="216" t="s">
        <v>160</v>
      </c>
      <c r="D8" s="175" t="s">
        <v>88</v>
      </c>
      <c r="E8" s="125">
        <v>6</v>
      </c>
      <c r="F8" s="126" t="s">
        <v>96</v>
      </c>
      <c r="G8" s="178" t="s">
        <v>284</v>
      </c>
      <c r="H8" s="135" t="s">
        <v>88</v>
      </c>
      <c r="I8" s="129">
        <v>6</v>
      </c>
      <c r="J8" s="130" t="s">
        <v>97</v>
      </c>
      <c r="K8" s="131"/>
      <c r="L8" s="132" t="s">
        <v>88</v>
      </c>
      <c r="M8" s="125">
        <v>6</v>
      </c>
      <c r="N8" s="126" t="s">
        <v>91</v>
      </c>
      <c r="O8" s="222" t="s">
        <v>186</v>
      </c>
      <c r="P8" s="128"/>
      <c r="Q8" s="125">
        <v>6</v>
      </c>
      <c r="R8" s="126" t="s">
        <v>96</v>
      </c>
      <c r="S8" s="127"/>
      <c r="T8" s="128" t="s">
        <v>88</v>
      </c>
      <c r="U8" s="125">
        <v>6</v>
      </c>
      <c r="V8" s="126" t="s">
        <v>93</v>
      </c>
      <c r="W8" s="178" t="s">
        <v>200</v>
      </c>
      <c r="X8" s="128">
        <v>2</v>
      </c>
    </row>
    <row r="9" spans="1:24" x14ac:dyDescent="0.25">
      <c r="A9" s="176">
        <v>7</v>
      </c>
      <c r="B9" s="177" t="s">
        <v>91</v>
      </c>
      <c r="C9" s="216" t="s">
        <v>160</v>
      </c>
      <c r="D9" s="175"/>
      <c r="E9" s="129">
        <v>7</v>
      </c>
      <c r="F9" s="130" t="s">
        <v>92</v>
      </c>
      <c r="G9" s="131"/>
      <c r="H9" s="136" t="s">
        <v>88</v>
      </c>
      <c r="I9" s="125">
        <v>7</v>
      </c>
      <c r="J9" s="126" t="s">
        <v>93</v>
      </c>
      <c r="K9" s="127"/>
      <c r="L9" s="128">
        <v>41</v>
      </c>
      <c r="M9" s="125">
        <v>7</v>
      </c>
      <c r="N9" s="126" t="s">
        <v>94</v>
      </c>
      <c r="O9" s="127"/>
      <c r="P9" s="128"/>
      <c r="Q9" s="129">
        <v>7</v>
      </c>
      <c r="R9" s="130" t="s">
        <v>92</v>
      </c>
      <c r="S9" s="131"/>
      <c r="T9" s="132" t="s">
        <v>88</v>
      </c>
      <c r="U9" s="125">
        <v>7</v>
      </c>
      <c r="V9" s="126" t="s">
        <v>95</v>
      </c>
      <c r="W9" s="178" t="s">
        <v>200</v>
      </c>
      <c r="X9" s="128" t="s">
        <v>88</v>
      </c>
    </row>
    <row r="10" spans="1:24" ht="26.25" x14ac:dyDescent="0.25">
      <c r="A10" s="125">
        <v>8</v>
      </c>
      <c r="B10" s="126" t="s">
        <v>94</v>
      </c>
      <c r="C10" s="127" t="s">
        <v>161</v>
      </c>
      <c r="D10" s="138"/>
      <c r="E10" s="129">
        <v>8</v>
      </c>
      <c r="F10" s="130" t="s">
        <v>97</v>
      </c>
      <c r="G10" s="131"/>
      <c r="H10" s="136" t="s">
        <v>88</v>
      </c>
      <c r="I10" s="125">
        <v>8</v>
      </c>
      <c r="J10" s="126" t="s">
        <v>95</v>
      </c>
      <c r="K10" s="226" t="s">
        <v>235</v>
      </c>
      <c r="L10" s="128" t="s">
        <v>88</v>
      </c>
      <c r="M10" s="125">
        <v>8</v>
      </c>
      <c r="N10" s="126" t="s">
        <v>96</v>
      </c>
      <c r="O10" s="127"/>
      <c r="P10" s="128" t="s">
        <v>88</v>
      </c>
      <c r="Q10" s="129">
        <v>8</v>
      </c>
      <c r="R10" s="130" t="s">
        <v>97</v>
      </c>
      <c r="S10" s="131"/>
      <c r="T10" s="132" t="s">
        <v>88</v>
      </c>
      <c r="U10" s="125">
        <v>8</v>
      </c>
      <c r="V10" s="126" t="s">
        <v>91</v>
      </c>
      <c r="W10" s="222" t="s">
        <v>176</v>
      </c>
      <c r="X10" s="128"/>
    </row>
    <row r="11" spans="1:24" x14ac:dyDescent="0.25">
      <c r="A11" s="125">
        <v>9</v>
      </c>
      <c r="B11" s="126" t="s">
        <v>96</v>
      </c>
      <c r="C11" s="127" t="s">
        <v>162</v>
      </c>
      <c r="D11" s="138" t="s">
        <v>88</v>
      </c>
      <c r="E11" s="125">
        <v>9</v>
      </c>
      <c r="F11" s="126" t="s">
        <v>93</v>
      </c>
      <c r="G11" s="127"/>
      <c r="H11" s="135">
        <v>37</v>
      </c>
      <c r="I11" s="125">
        <v>9</v>
      </c>
      <c r="J11" s="126" t="s">
        <v>91</v>
      </c>
      <c r="K11" s="222" t="s">
        <v>175</v>
      </c>
      <c r="L11" s="128"/>
      <c r="M11" s="129">
        <v>9</v>
      </c>
      <c r="N11" s="130" t="s">
        <v>92</v>
      </c>
      <c r="O11" s="131"/>
      <c r="P11" s="132" t="s">
        <v>88</v>
      </c>
      <c r="Q11" s="125">
        <v>9</v>
      </c>
      <c r="R11" s="126" t="s">
        <v>93</v>
      </c>
      <c r="S11" s="127"/>
      <c r="T11" s="128">
        <v>50</v>
      </c>
      <c r="U11" s="125">
        <v>9</v>
      </c>
      <c r="V11" s="126" t="s">
        <v>94</v>
      </c>
      <c r="W11" s="178" t="s">
        <v>200</v>
      </c>
      <c r="X11" s="128"/>
    </row>
    <row r="12" spans="1:24" x14ac:dyDescent="0.25">
      <c r="A12" s="129">
        <v>10</v>
      </c>
      <c r="B12" s="130" t="s">
        <v>92</v>
      </c>
      <c r="C12" s="131"/>
      <c r="D12" s="144" t="s">
        <v>88</v>
      </c>
      <c r="E12" s="125">
        <v>10</v>
      </c>
      <c r="F12" s="126" t="s">
        <v>95</v>
      </c>
      <c r="G12" s="127"/>
      <c r="H12" s="135" t="s">
        <v>88</v>
      </c>
      <c r="I12" s="125">
        <v>10</v>
      </c>
      <c r="J12" s="126" t="s">
        <v>94</v>
      </c>
      <c r="K12" s="127"/>
      <c r="L12" s="128"/>
      <c r="M12" s="129">
        <v>10</v>
      </c>
      <c r="N12" s="130" t="s">
        <v>97</v>
      </c>
      <c r="O12" s="131"/>
      <c r="P12" s="132" t="s">
        <v>88</v>
      </c>
      <c r="Q12" s="125">
        <v>10</v>
      </c>
      <c r="R12" s="126" t="s">
        <v>95</v>
      </c>
      <c r="S12" s="127" t="s">
        <v>245</v>
      </c>
      <c r="T12" s="128" t="s">
        <v>88</v>
      </c>
      <c r="U12" s="125">
        <v>10</v>
      </c>
      <c r="V12" s="126" t="s">
        <v>96</v>
      </c>
      <c r="W12" s="178" t="s">
        <v>200</v>
      </c>
      <c r="X12" s="128" t="s">
        <v>88</v>
      </c>
    </row>
    <row r="13" spans="1:24" ht="26.25" x14ac:dyDescent="0.25">
      <c r="A13" s="129">
        <v>11</v>
      </c>
      <c r="B13" s="130" t="s">
        <v>97</v>
      </c>
      <c r="C13" s="131"/>
      <c r="D13" s="144" t="s">
        <v>88</v>
      </c>
      <c r="E13" s="125">
        <v>11</v>
      </c>
      <c r="F13" s="126" t="s">
        <v>91</v>
      </c>
      <c r="G13" s="222" t="s">
        <v>176</v>
      </c>
      <c r="H13" s="135"/>
      <c r="I13" s="125">
        <v>11</v>
      </c>
      <c r="J13" s="126" t="s">
        <v>96</v>
      </c>
      <c r="K13" s="218" t="s">
        <v>215</v>
      </c>
      <c r="L13" s="128" t="s">
        <v>88</v>
      </c>
      <c r="M13" s="125">
        <v>11</v>
      </c>
      <c r="N13" s="126" t="s">
        <v>93</v>
      </c>
      <c r="O13" s="127" t="s">
        <v>224</v>
      </c>
      <c r="P13" s="128">
        <v>46</v>
      </c>
      <c r="Q13" s="125">
        <v>11</v>
      </c>
      <c r="R13" s="126" t="s">
        <v>91</v>
      </c>
      <c r="S13" s="222" t="s">
        <v>187</v>
      </c>
      <c r="T13" s="128"/>
      <c r="U13" s="129">
        <v>11</v>
      </c>
      <c r="V13" s="130" t="s">
        <v>92</v>
      </c>
      <c r="W13" s="131"/>
      <c r="X13" s="132" t="s">
        <v>88</v>
      </c>
    </row>
    <row r="14" spans="1:24" x14ac:dyDescent="0.25">
      <c r="A14" s="125">
        <v>12</v>
      </c>
      <c r="B14" s="126" t="s">
        <v>93</v>
      </c>
      <c r="C14" s="127"/>
      <c r="D14" s="140">
        <v>33</v>
      </c>
      <c r="E14" s="125">
        <v>12</v>
      </c>
      <c r="F14" s="126" t="s">
        <v>94</v>
      </c>
      <c r="G14" s="127"/>
      <c r="H14" s="135"/>
      <c r="I14" s="129">
        <v>12</v>
      </c>
      <c r="J14" s="130" t="s">
        <v>92</v>
      </c>
      <c r="K14" s="131"/>
      <c r="L14" s="132" t="s">
        <v>88</v>
      </c>
      <c r="M14" s="125">
        <v>12</v>
      </c>
      <c r="N14" s="126" t="s">
        <v>95</v>
      </c>
      <c r="O14" s="127"/>
      <c r="P14" s="128" t="s">
        <v>88</v>
      </c>
      <c r="Q14" s="125">
        <v>12</v>
      </c>
      <c r="R14" s="126" t="s">
        <v>94</v>
      </c>
      <c r="S14" s="127"/>
      <c r="T14" s="128"/>
      <c r="U14" s="129">
        <v>12</v>
      </c>
      <c r="V14" s="130" t="s">
        <v>97</v>
      </c>
      <c r="W14" s="131"/>
      <c r="X14" s="132" t="s">
        <v>88</v>
      </c>
    </row>
    <row r="15" spans="1:24" x14ac:dyDescent="0.25">
      <c r="A15" s="125">
        <v>13</v>
      </c>
      <c r="B15" s="126" t="s">
        <v>95</v>
      </c>
      <c r="C15" s="127" t="s">
        <v>230</v>
      </c>
      <c r="D15" s="140" t="s">
        <v>88</v>
      </c>
      <c r="E15" s="125">
        <v>13</v>
      </c>
      <c r="F15" s="126" t="s">
        <v>96</v>
      </c>
      <c r="G15" s="127"/>
      <c r="H15" s="135" t="s">
        <v>88</v>
      </c>
      <c r="I15" s="129">
        <v>13</v>
      </c>
      <c r="J15" s="130" t="s">
        <v>97</v>
      </c>
      <c r="K15" s="131"/>
      <c r="L15" s="132" t="s">
        <v>88</v>
      </c>
      <c r="M15" s="125">
        <v>13</v>
      </c>
      <c r="N15" s="126" t="s">
        <v>91</v>
      </c>
      <c r="O15" s="222" t="s">
        <v>175</v>
      </c>
      <c r="P15" s="128"/>
      <c r="Q15" s="125">
        <v>13</v>
      </c>
      <c r="R15" s="126" t="s">
        <v>96</v>
      </c>
      <c r="S15" s="127"/>
      <c r="T15" s="128" t="s">
        <v>88</v>
      </c>
      <c r="U15" s="125">
        <v>13</v>
      </c>
      <c r="V15" s="126" t="s">
        <v>93</v>
      </c>
      <c r="W15" s="178" t="s">
        <v>200</v>
      </c>
      <c r="X15" s="128">
        <v>3</v>
      </c>
    </row>
    <row r="16" spans="1:24" x14ac:dyDescent="0.25">
      <c r="A16" s="125">
        <v>14</v>
      </c>
      <c r="B16" s="126" t="s">
        <v>91</v>
      </c>
      <c r="C16" s="222" t="s">
        <v>217</v>
      </c>
      <c r="D16" s="140"/>
      <c r="E16" s="129">
        <v>14</v>
      </c>
      <c r="F16" s="130" t="s">
        <v>92</v>
      </c>
      <c r="G16" s="131"/>
      <c r="H16" s="136" t="s">
        <v>88</v>
      </c>
      <c r="I16" s="147">
        <v>14</v>
      </c>
      <c r="J16" s="152" t="s">
        <v>93</v>
      </c>
      <c r="K16" s="153" t="s">
        <v>85</v>
      </c>
      <c r="L16" s="154">
        <v>42</v>
      </c>
      <c r="M16" s="125">
        <v>14</v>
      </c>
      <c r="N16" s="126" t="s">
        <v>94</v>
      </c>
      <c r="O16" s="127"/>
      <c r="P16" s="128"/>
      <c r="Q16" s="129">
        <v>14</v>
      </c>
      <c r="R16" s="130" t="s">
        <v>92</v>
      </c>
      <c r="S16" s="131"/>
      <c r="T16" s="132" t="s">
        <v>88</v>
      </c>
      <c r="U16" s="125">
        <v>14</v>
      </c>
      <c r="V16" s="126" t="s">
        <v>95</v>
      </c>
      <c r="W16" s="178" t="s">
        <v>200</v>
      </c>
      <c r="X16" s="128" t="s">
        <v>88</v>
      </c>
    </row>
    <row r="17" spans="1:24" x14ac:dyDescent="0.25">
      <c r="A17" s="125">
        <v>15</v>
      </c>
      <c r="B17" s="126" t="s">
        <v>94</v>
      </c>
      <c r="C17" s="127"/>
      <c r="D17" s="138"/>
      <c r="E17" s="129">
        <v>15</v>
      </c>
      <c r="F17" s="130" t="s">
        <v>97</v>
      </c>
      <c r="G17" s="131"/>
      <c r="H17" s="136" t="s">
        <v>88</v>
      </c>
      <c r="I17" s="147">
        <v>15</v>
      </c>
      <c r="J17" s="152" t="s">
        <v>95</v>
      </c>
      <c r="K17" s="153" t="s">
        <v>85</v>
      </c>
      <c r="L17" s="154" t="s">
        <v>88</v>
      </c>
      <c r="M17" s="125">
        <v>15</v>
      </c>
      <c r="N17" s="126" t="s">
        <v>96</v>
      </c>
      <c r="O17" s="127"/>
      <c r="P17" s="128" t="s">
        <v>88</v>
      </c>
      <c r="Q17" s="129">
        <v>15</v>
      </c>
      <c r="R17" s="130" t="s">
        <v>97</v>
      </c>
      <c r="S17" s="131"/>
      <c r="T17" s="132" t="s">
        <v>88</v>
      </c>
      <c r="U17" s="125">
        <v>15</v>
      </c>
      <c r="V17" s="126" t="s">
        <v>91</v>
      </c>
      <c r="W17" s="222" t="s">
        <v>174</v>
      </c>
      <c r="X17" s="128"/>
    </row>
    <row r="18" spans="1:24" x14ac:dyDescent="0.25">
      <c r="A18" s="125">
        <v>16</v>
      </c>
      <c r="B18" s="126" t="s">
        <v>96</v>
      </c>
      <c r="C18" s="127"/>
      <c r="D18" s="138" t="s">
        <v>88</v>
      </c>
      <c r="E18" s="125">
        <v>16</v>
      </c>
      <c r="F18" s="126" t="s">
        <v>93</v>
      </c>
      <c r="G18" s="178" t="s">
        <v>182</v>
      </c>
      <c r="H18" s="135">
        <v>38</v>
      </c>
      <c r="I18" s="147">
        <v>16</v>
      </c>
      <c r="J18" s="152" t="s">
        <v>91</v>
      </c>
      <c r="K18" s="153" t="s">
        <v>85</v>
      </c>
      <c r="L18" s="154"/>
      <c r="M18" s="129">
        <v>16</v>
      </c>
      <c r="N18" s="130" t="s">
        <v>92</v>
      </c>
      <c r="O18" s="131"/>
      <c r="P18" s="132" t="s">
        <v>88</v>
      </c>
      <c r="Q18" s="125">
        <v>16</v>
      </c>
      <c r="R18" s="126" t="s">
        <v>93</v>
      </c>
      <c r="S18" s="127"/>
      <c r="T18" s="128">
        <v>51</v>
      </c>
      <c r="U18" s="125">
        <v>16</v>
      </c>
      <c r="V18" s="126" t="s">
        <v>94</v>
      </c>
      <c r="W18" s="178" t="s">
        <v>200</v>
      </c>
      <c r="X18" s="128"/>
    </row>
    <row r="19" spans="1:24" x14ac:dyDescent="0.25">
      <c r="A19" s="129">
        <v>17</v>
      </c>
      <c r="B19" s="130" t="s">
        <v>92</v>
      </c>
      <c r="C19" s="131"/>
      <c r="D19" s="144" t="s">
        <v>88</v>
      </c>
      <c r="E19" s="125">
        <v>17</v>
      </c>
      <c r="F19" s="126" t="s">
        <v>95</v>
      </c>
      <c r="G19" s="178" t="s">
        <v>182</v>
      </c>
      <c r="H19" s="135" t="s">
        <v>88</v>
      </c>
      <c r="I19" s="147">
        <v>17</v>
      </c>
      <c r="J19" s="152" t="s">
        <v>94</v>
      </c>
      <c r="K19" s="153" t="s">
        <v>85</v>
      </c>
      <c r="L19" s="154"/>
      <c r="M19" s="129">
        <v>17</v>
      </c>
      <c r="N19" s="130" t="s">
        <v>97</v>
      </c>
      <c r="O19" s="131"/>
      <c r="P19" s="132" t="s">
        <v>88</v>
      </c>
      <c r="Q19" s="125">
        <v>17</v>
      </c>
      <c r="R19" s="126" t="s">
        <v>95</v>
      </c>
      <c r="S19" s="127"/>
      <c r="T19" s="128" t="s">
        <v>88</v>
      </c>
      <c r="U19" s="125">
        <v>17</v>
      </c>
      <c r="V19" s="126" t="s">
        <v>96</v>
      </c>
      <c r="W19" s="178" t="s">
        <v>200</v>
      </c>
      <c r="X19" s="128" t="s">
        <v>88</v>
      </c>
    </row>
    <row r="20" spans="1:24" ht="26.25" x14ac:dyDescent="0.25">
      <c r="A20" s="129">
        <v>18</v>
      </c>
      <c r="B20" s="130" t="s">
        <v>97</v>
      </c>
      <c r="C20" s="131"/>
      <c r="D20" s="144" t="s">
        <v>88</v>
      </c>
      <c r="E20" s="125">
        <v>18</v>
      </c>
      <c r="F20" s="126" t="s">
        <v>91</v>
      </c>
      <c r="G20" s="222" t="s">
        <v>257</v>
      </c>
      <c r="H20" s="135"/>
      <c r="I20" s="147">
        <v>18</v>
      </c>
      <c r="J20" s="152" t="s">
        <v>96</v>
      </c>
      <c r="K20" s="153" t="s">
        <v>85</v>
      </c>
      <c r="L20" s="154" t="s">
        <v>88</v>
      </c>
      <c r="M20" s="125">
        <v>18</v>
      </c>
      <c r="N20" s="126" t="s">
        <v>93</v>
      </c>
      <c r="O20" s="226" t="s">
        <v>248</v>
      </c>
      <c r="P20" s="128">
        <v>47</v>
      </c>
      <c r="Q20" s="125">
        <v>18</v>
      </c>
      <c r="R20" s="126" t="s">
        <v>91</v>
      </c>
      <c r="S20" s="222" t="s">
        <v>216</v>
      </c>
      <c r="T20" s="128"/>
      <c r="U20" s="129">
        <v>18</v>
      </c>
      <c r="V20" s="130" t="s">
        <v>92</v>
      </c>
      <c r="W20" s="131"/>
      <c r="X20" s="132" t="s">
        <v>88</v>
      </c>
    </row>
    <row r="21" spans="1:24" ht="26.25" x14ac:dyDescent="0.25">
      <c r="A21" s="125">
        <v>19</v>
      </c>
      <c r="B21" s="126" t="s">
        <v>93</v>
      </c>
      <c r="C21" s="218" t="s">
        <v>204</v>
      </c>
      <c r="D21" s="140">
        <v>34</v>
      </c>
      <c r="E21" s="125">
        <v>19</v>
      </c>
      <c r="F21" s="126" t="s">
        <v>94</v>
      </c>
      <c r="G21" s="127" t="s">
        <v>229</v>
      </c>
      <c r="H21" s="135"/>
      <c r="I21" s="129">
        <v>19</v>
      </c>
      <c r="J21" s="130" t="s">
        <v>92</v>
      </c>
      <c r="K21" s="131"/>
      <c r="L21" s="132" t="s">
        <v>88</v>
      </c>
      <c r="M21" s="125">
        <v>19</v>
      </c>
      <c r="N21" s="126" t="s">
        <v>95</v>
      </c>
      <c r="O21" s="127" t="s">
        <v>226</v>
      </c>
      <c r="P21" s="128" t="s">
        <v>88</v>
      </c>
      <c r="Q21" s="125">
        <v>19</v>
      </c>
      <c r="R21" s="126" t="s">
        <v>94</v>
      </c>
      <c r="S21" s="127"/>
      <c r="T21" s="128"/>
      <c r="U21" s="129">
        <v>19</v>
      </c>
      <c r="V21" s="130" t="s">
        <v>97</v>
      </c>
      <c r="W21" s="131"/>
      <c r="X21" s="132" t="s">
        <v>88</v>
      </c>
    </row>
    <row r="22" spans="1:24" ht="51.75" x14ac:dyDescent="0.25">
      <c r="A22" s="125">
        <v>20</v>
      </c>
      <c r="B22" s="126" t="s">
        <v>95</v>
      </c>
      <c r="C22" s="218" t="s">
        <v>251</v>
      </c>
      <c r="D22" s="140" t="s">
        <v>88</v>
      </c>
      <c r="E22" s="125">
        <v>20</v>
      </c>
      <c r="F22" s="126" t="s">
        <v>96</v>
      </c>
      <c r="G22" s="127"/>
      <c r="H22" s="135" t="s">
        <v>88</v>
      </c>
      <c r="I22" s="129">
        <v>20</v>
      </c>
      <c r="J22" s="130" t="s">
        <v>97</v>
      </c>
      <c r="K22" s="131"/>
      <c r="L22" s="132" t="s">
        <v>88</v>
      </c>
      <c r="M22" s="125">
        <v>20</v>
      </c>
      <c r="N22" s="126" t="s">
        <v>91</v>
      </c>
      <c r="O22" s="222" t="s">
        <v>176</v>
      </c>
      <c r="P22" s="128"/>
      <c r="Q22" s="125">
        <v>20</v>
      </c>
      <c r="R22" s="126" t="s">
        <v>96</v>
      </c>
      <c r="S22" s="127"/>
      <c r="T22" s="128" t="s">
        <v>88</v>
      </c>
      <c r="U22" s="125">
        <v>20</v>
      </c>
      <c r="V22" s="126" t="s">
        <v>93</v>
      </c>
      <c r="W22" s="127"/>
      <c r="X22" s="128">
        <v>4</v>
      </c>
    </row>
    <row r="23" spans="1:24" ht="102.75" x14ac:dyDescent="0.25">
      <c r="A23" s="125">
        <v>21</v>
      </c>
      <c r="B23" s="126" t="s">
        <v>91</v>
      </c>
      <c r="C23" s="223" t="s">
        <v>286</v>
      </c>
      <c r="D23" s="140"/>
      <c r="E23" s="129">
        <v>21</v>
      </c>
      <c r="F23" s="130" t="s">
        <v>92</v>
      </c>
      <c r="G23" s="131"/>
      <c r="H23" s="136" t="s">
        <v>88</v>
      </c>
      <c r="I23" s="125">
        <v>21</v>
      </c>
      <c r="J23" s="126" t="s">
        <v>93</v>
      </c>
      <c r="K23" s="127"/>
      <c r="L23" s="128">
        <v>43</v>
      </c>
      <c r="M23" s="125">
        <v>21</v>
      </c>
      <c r="N23" s="126" t="s">
        <v>94</v>
      </c>
      <c r="O23" s="127"/>
      <c r="P23" s="128"/>
      <c r="Q23" s="129">
        <v>21</v>
      </c>
      <c r="R23" s="130" t="s">
        <v>92</v>
      </c>
      <c r="S23" s="131"/>
      <c r="T23" s="132" t="s">
        <v>88</v>
      </c>
      <c r="U23" s="125">
        <v>21</v>
      </c>
      <c r="V23" s="126" t="s">
        <v>95</v>
      </c>
      <c r="W23" s="127"/>
      <c r="X23" s="128" t="s">
        <v>88</v>
      </c>
    </row>
    <row r="24" spans="1:24" ht="51.75" x14ac:dyDescent="0.25">
      <c r="A24" s="125">
        <v>22</v>
      </c>
      <c r="B24" s="126" t="s">
        <v>94</v>
      </c>
      <c r="C24" s="218" t="s">
        <v>237</v>
      </c>
      <c r="D24" s="140"/>
      <c r="E24" s="129">
        <v>22</v>
      </c>
      <c r="F24" s="130" t="s">
        <v>97</v>
      </c>
      <c r="G24" s="131"/>
      <c r="H24" s="136" t="s">
        <v>88</v>
      </c>
      <c r="I24" s="125">
        <v>22</v>
      </c>
      <c r="J24" s="126" t="s">
        <v>95</v>
      </c>
      <c r="K24" s="226" t="s">
        <v>238</v>
      </c>
      <c r="L24" s="128" t="s">
        <v>88</v>
      </c>
      <c r="M24" s="125">
        <v>22</v>
      </c>
      <c r="N24" s="126" t="s">
        <v>96</v>
      </c>
      <c r="O24" s="127" t="s">
        <v>211</v>
      </c>
      <c r="P24" s="128" t="s">
        <v>88</v>
      </c>
      <c r="Q24" s="129">
        <v>22</v>
      </c>
      <c r="R24" s="130" t="s">
        <v>97</v>
      </c>
      <c r="S24" s="131"/>
      <c r="T24" s="132" t="s">
        <v>88</v>
      </c>
      <c r="U24" s="125">
        <v>22</v>
      </c>
      <c r="V24" s="126" t="s">
        <v>91</v>
      </c>
      <c r="W24" s="222" t="s">
        <v>186</v>
      </c>
      <c r="X24" s="128"/>
    </row>
    <row r="25" spans="1:24" ht="39" x14ac:dyDescent="0.25">
      <c r="A25" s="125">
        <v>23</v>
      </c>
      <c r="B25" s="126" t="s">
        <v>96</v>
      </c>
      <c r="C25" s="218" t="s">
        <v>204</v>
      </c>
      <c r="D25" s="140" t="s">
        <v>88</v>
      </c>
      <c r="E25" s="125">
        <v>23</v>
      </c>
      <c r="F25" s="126" t="s">
        <v>93</v>
      </c>
      <c r="G25" s="218" t="s">
        <v>184</v>
      </c>
      <c r="H25" s="135">
        <v>39</v>
      </c>
      <c r="I25" s="125">
        <v>23</v>
      </c>
      <c r="J25" s="126" t="s">
        <v>91</v>
      </c>
      <c r="K25" s="222" t="s">
        <v>187</v>
      </c>
      <c r="L25" s="128"/>
      <c r="M25" s="129">
        <v>23</v>
      </c>
      <c r="N25" s="130" t="s">
        <v>92</v>
      </c>
      <c r="O25" s="131"/>
      <c r="P25" s="132" t="s">
        <v>88</v>
      </c>
      <c r="Q25" s="147">
        <v>23</v>
      </c>
      <c r="R25" s="148" t="s">
        <v>93</v>
      </c>
      <c r="S25" s="149" t="s">
        <v>196</v>
      </c>
      <c r="T25" s="150">
        <v>52</v>
      </c>
      <c r="U25" s="125">
        <v>23</v>
      </c>
      <c r="V25" s="126" t="s">
        <v>94</v>
      </c>
      <c r="W25" s="127"/>
      <c r="X25" s="128"/>
    </row>
    <row r="26" spans="1:24" ht="39" x14ac:dyDescent="0.25">
      <c r="A26" s="129">
        <v>24</v>
      </c>
      <c r="B26" s="130" t="s">
        <v>92</v>
      </c>
      <c r="C26" s="131"/>
      <c r="D26" s="139" t="s">
        <v>88</v>
      </c>
      <c r="E26" s="125">
        <v>24</v>
      </c>
      <c r="F26" s="126" t="s">
        <v>95</v>
      </c>
      <c r="G26" s="218" t="s">
        <v>184</v>
      </c>
      <c r="H26" s="135" t="s">
        <v>88</v>
      </c>
      <c r="I26" s="125">
        <v>24</v>
      </c>
      <c r="J26" s="126" t="s">
        <v>94</v>
      </c>
      <c r="K26" s="127"/>
      <c r="L26" s="128"/>
      <c r="M26" s="129">
        <v>24</v>
      </c>
      <c r="N26" s="130" t="s">
        <v>97</v>
      </c>
      <c r="O26" s="131"/>
      <c r="P26" s="132" t="s">
        <v>88</v>
      </c>
      <c r="Q26" s="147">
        <v>24</v>
      </c>
      <c r="R26" s="148" t="s">
        <v>95</v>
      </c>
      <c r="S26" s="149" t="s">
        <v>197</v>
      </c>
      <c r="T26" s="150" t="s">
        <v>88</v>
      </c>
      <c r="U26" s="125">
        <v>24</v>
      </c>
      <c r="V26" s="126" t="s">
        <v>96</v>
      </c>
      <c r="W26" s="127"/>
      <c r="X26" s="128" t="s">
        <v>88</v>
      </c>
    </row>
    <row r="27" spans="1:24" ht="39" x14ac:dyDescent="0.25">
      <c r="A27" s="129">
        <v>25</v>
      </c>
      <c r="B27" s="130" t="s">
        <v>97</v>
      </c>
      <c r="C27" s="131"/>
      <c r="D27" s="139" t="s">
        <v>88</v>
      </c>
      <c r="E27" s="125">
        <v>25</v>
      </c>
      <c r="F27" s="126" t="s">
        <v>91</v>
      </c>
      <c r="G27" s="218" t="s">
        <v>184</v>
      </c>
      <c r="H27" s="135"/>
      <c r="I27" s="125">
        <v>25</v>
      </c>
      <c r="J27" s="126" t="s">
        <v>96</v>
      </c>
      <c r="K27" s="127"/>
      <c r="L27" s="128" t="s">
        <v>88</v>
      </c>
      <c r="M27" s="125">
        <v>25</v>
      </c>
      <c r="N27" s="126" t="s">
        <v>93</v>
      </c>
      <c r="O27" s="226" t="s">
        <v>227</v>
      </c>
      <c r="P27" s="128">
        <v>48</v>
      </c>
      <c r="Q27" s="147">
        <v>25</v>
      </c>
      <c r="R27" s="157" t="s">
        <v>91</v>
      </c>
      <c r="S27" s="158" t="s">
        <v>146</v>
      </c>
      <c r="T27" s="159"/>
      <c r="U27" s="129">
        <v>25</v>
      </c>
      <c r="V27" s="130" t="s">
        <v>92</v>
      </c>
      <c r="W27" s="131"/>
      <c r="X27" s="132" t="s">
        <v>88</v>
      </c>
    </row>
    <row r="28" spans="1:24" ht="39" x14ac:dyDescent="0.25">
      <c r="A28" s="125">
        <v>26</v>
      </c>
      <c r="B28" s="126" t="s">
        <v>93</v>
      </c>
      <c r="C28" s="226" t="s">
        <v>285</v>
      </c>
      <c r="D28" s="140">
        <v>35</v>
      </c>
      <c r="E28" s="125">
        <v>26</v>
      </c>
      <c r="F28" s="126" t="s">
        <v>94</v>
      </c>
      <c r="G28" s="218" t="s">
        <v>184</v>
      </c>
      <c r="H28" s="135"/>
      <c r="I28" s="129">
        <v>26</v>
      </c>
      <c r="J28" s="130" t="s">
        <v>92</v>
      </c>
      <c r="K28" s="131"/>
      <c r="L28" s="132" t="s">
        <v>88</v>
      </c>
      <c r="M28" s="125">
        <v>26</v>
      </c>
      <c r="N28" s="126" t="s">
        <v>95</v>
      </c>
      <c r="O28" s="226" t="s">
        <v>241</v>
      </c>
      <c r="P28" s="128" t="s">
        <v>88</v>
      </c>
      <c r="Q28" s="147">
        <v>26</v>
      </c>
      <c r="R28" s="157" t="s">
        <v>94</v>
      </c>
      <c r="S28" s="158" t="s">
        <v>52</v>
      </c>
      <c r="T28" s="159"/>
      <c r="U28" s="129">
        <v>26</v>
      </c>
      <c r="V28" s="130" t="s">
        <v>97</v>
      </c>
      <c r="W28" s="131"/>
      <c r="X28" s="132" t="s">
        <v>88</v>
      </c>
    </row>
    <row r="29" spans="1:24" ht="51.75" x14ac:dyDescent="0.25">
      <c r="A29" s="125">
        <v>27</v>
      </c>
      <c r="B29" s="126" t="s">
        <v>95</v>
      </c>
      <c r="C29" s="127"/>
      <c r="D29" s="140" t="s">
        <v>88</v>
      </c>
      <c r="E29" s="125">
        <v>27</v>
      </c>
      <c r="F29" s="126" t="s">
        <v>96</v>
      </c>
      <c r="G29" s="218" t="s">
        <v>185</v>
      </c>
      <c r="H29" s="135" t="s">
        <v>88</v>
      </c>
      <c r="I29" s="129">
        <v>27</v>
      </c>
      <c r="J29" s="130" t="s">
        <v>97</v>
      </c>
      <c r="K29" s="131"/>
      <c r="L29" s="132" t="s">
        <v>88</v>
      </c>
      <c r="M29" s="125">
        <v>27</v>
      </c>
      <c r="N29" s="126" t="s">
        <v>91</v>
      </c>
      <c r="O29" s="222" t="s">
        <v>257</v>
      </c>
      <c r="P29" s="128"/>
      <c r="Q29" s="147">
        <v>27</v>
      </c>
      <c r="R29" s="148" t="s">
        <v>96</v>
      </c>
      <c r="S29" s="149" t="s">
        <v>196</v>
      </c>
      <c r="T29" s="150" t="s">
        <v>88</v>
      </c>
      <c r="U29" s="125">
        <v>27</v>
      </c>
      <c r="V29" s="126" t="s">
        <v>93</v>
      </c>
      <c r="W29" s="127"/>
      <c r="X29" s="128">
        <v>5</v>
      </c>
    </row>
    <row r="30" spans="1:24" ht="26.25" x14ac:dyDescent="0.25">
      <c r="A30" s="125">
        <v>28</v>
      </c>
      <c r="B30" s="126" t="s">
        <v>91</v>
      </c>
      <c r="C30" s="222" t="s">
        <v>175</v>
      </c>
      <c r="D30" s="140"/>
      <c r="E30" s="129">
        <v>28</v>
      </c>
      <c r="F30" s="130" t="s">
        <v>92</v>
      </c>
      <c r="G30" s="131"/>
      <c r="H30" s="136" t="s">
        <v>88</v>
      </c>
      <c r="I30" s="125">
        <v>28</v>
      </c>
      <c r="J30" s="126" t="s">
        <v>93</v>
      </c>
      <c r="K30" s="218" t="s">
        <v>244</v>
      </c>
      <c r="L30" s="128">
        <v>44</v>
      </c>
      <c r="M30" s="125">
        <v>28</v>
      </c>
      <c r="N30" s="126" t="s">
        <v>94</v>
      </c>
      <c r="O30" s="127"/>
      <c r="P30" s="128"/>
      <c r="Q30" s="129">
        <v>28</v>
      </c>
      <c r="R30" s="130" t="s">
        <v>92</v>
      </c>
      <c r="S30" s="131"/>
      <c r="T30" s="132" t="s">
        <v>88</v>
      </c>
      <c r="U30" s="125">
        <v>28</v>
      </c>
      <c r="V30" s="126" t="s">
        <v>95</v>
      </c>
      <c r="W30" s="127"/>
      <c r="X30" s="128" t="s">
        <v>88</v>
      </c>
    </row>
    <row r="31" spans="1:24" x14ac:dyDescent="0.25">
      <c r="A31" s="125">
        <v>29</v>
      </c>
      <c r="B31" s="126" t="s">
        <v>94</v>
      </c>
      <c r="C31" s="127" t="s">
        <v>243</v>
      </c>
      <c r="D31" s="138"/>
      <c r="E31" s="129">
        <v>29</v>
      </c>
      <c r="F31" s="130" t="s">
        <v>97</v>
      </c>
      <c r="G31" s="131"/>
      <c r="H31" s="136" t="s">
        <v>88</v>
      </c>
      <c r="I31" s="125">
        <v>29</v>
      </c>
      <c r="J31" s="126" t="s">
        <v>95</v>
      </c>
      <c r="K31" s="178" t="s">
        <v>172</v>
      </c>
      <c r="L31" s="128" t="s">
        <v>88</v>
      </c>
      <c r="M31" s="125">
        <v>29</v>
      </c>
      <c r="N31" s="126" t="s">
        <v>96</v>
      </c>
      <c r="O31" s="127"/>
      <c r="P31" s="128" t="s">
        <v>88</v>
      </c>
      <c r="Q31" s="129">
        <v>29</v>
      </c>
      <c r="R31" s="130" t="s">
        <v>97</v>
      </c>
      <c r="S31" s="131"/>
      <c r="T31" s="132" t="s">
        <v>88</v>
      </c>
      <c r="U31" s="125">
        <v>29</v>
      </c>
      <c r="V31" s="126" t="s">
        <v>91</v>
      </c>
      <c r="W31" s="222" t="s">
        <v>175</v>
      </c>
      <c r="X31" s="128"/>
    </row>
    <row r="32" spans="1:24" x14ac:dyDescent="0.25">
      <c r="A32" s="125">
        <v>30</v>
      </c>
      <c r="B32" s="126" t="s">
        <v>96</v>
      </c>
      <c r="C32" s="127"/>
      <c r="D32" s="138" t="s">
        <v>88</v>
      </c>
      <c r="E32" s="125">
        <v>30</v>
      </c>
      <c r="F32" s="126" t="s">
        <v>93</v>
      </c>
      <c r="G32" s="221" t="s">
        <v>220</v>
      </c>
      <c r="H32" s="135">
        <v>40</v>
      </c>
      <c r="I32" s="125">
        <v>30</v>
      </c>
      <c r="J32" s="126" t="s">
        <v>91</v>
      </c>
      <c r="K32" s="222" t="s">
        <v>188</v>
      </c>
      <c r="L32" s="128"/>
      <c r="M32" s="129">
        <v>30</v>
      </c>
      <c r="N32" s="130" t="s">
        <v>92</v>
      </c>
      <c r="O32" s="131"/>
      <c r="P32" s="132" t="s">
        <v>88</v>
      </c>
      <c r="Q32" s="147">
        <v>30</v>
      </c>
      <c r="R32" s="148" t="s">
        <v>93</v>
      </c>
      <c r="S32" s="149" t="s">
        <v>196</v>
      </c>
      <c r="T32" s="150">
        <v>1</v>
      </c>
      <c r="U32" s="125">
        <v>30</v>
      </c>
      <c r="V32" s="126" t="s">
        <v>94</v>
      </c>
      <c r="W32" s="127"/>
      <c r="X32" s="128"/>
    </row>
    <row r="33" spans="1:25" x14ac:dyDescent="0.25">
      <c r="A33" s="161">
        <v>31</v>
      </c>
      <c r="B33" s="162" t="s">
        <v>92</v>
      </c>
      <c r="C33" s="163"/>
      <c r="D33" s="164" t="s">
        <v>88</v>
      </c>
      <c r="E33" s="112"/>
      <c r="F33" s="113"/>
      <c r="G33" s="114"/>
      <c r="H33" s="137"/>
      <c r="I33" s="112">
        <v>31</v>
      </c>
      <c r="J33" s="113" t="s">
        <v>94</v>
      </c>
      <c r="K33" s="178" t="s">
        <v>172</v>
      </c>
      <c r="L33" s="165"/>
      <c r="M33" s="112"/>
      <c r="N33" s="113"/>
      <c r="O33" s="114"/>
      <c r="P33" s="82"/>
      <c r="Q33" s="166">
        <v>31</v>
      </c>
      <c r="R33" s="167" t="s">
        <v>95</v>
      </c>
      <c r="S33" s="149" t="s">
        <v>196</v>
      </c>
      <c r="T33" s="168" t="s">
        <v>88</v>
      </c>
      <c r="U33" s="112">
        <v>31</v>
      </c>
      <c r="V33" s="113" t="s">
        <v>96</v>
      </c>
      <c r="W33" s="220" t="s">
        <v>177</v>
      </c>
      <c r="X33" s="165" t="s">
        <v>88</v>
      </c>
    </row>
    <row r="34" spans="1:25" x14ac:dyDescent="0.25">
      <c r="A34" s="185"/>
      <c r="B34" s="185"/>
      <c r="C34" s="185"/>
      <c r="D34" s="185">
        <v>17</v>
      </c>
      <c r="E34" s="185"/>
      <c r="F34" s="185"/>
      <c r="G34" s="185"/>
      <c r="H34" s="185">
        <v>21</v>
      </c>
      <c r="I34" s="185"/>
      <c r="J34" s="185"/>
      <c r="K34" s="185"/>
      <c r="L34" s="185">
        <v>18</v>
      </c>
      <c r="M34" s="185"/>
      <c r="N34" s="185"/>
      <c r="O34" s="185"/>
      <c r="P34" s="185">
        <v>21</v>
      </c>
      <c r="Q34" s="185"/>
      <c r="R34" s="185"/>
      <c r="S34" s="185"/>
      <c r="T34" s="185">
        <v>15</v>
      </c>
      <c r="U34" s="185"/>
      <c r="V34" s="185"/>
      <c r="W34" s="185"/>
      <c r="X34" s="185">
        <v>20</v>
      </c>
      <c r="Y34" s="185">
        <f>SUM(A34:X34)</f>
        <v>112</v>
      </c>
    </row>
  </sheetData>
  <mergeCells count="1">
    <mergeCell ref="A1:X1"/>
  </mergeCells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B0A1B-DFCD-2941-B6B0-4E432540852B}">
  <sheetPr>
    <pageSetUpPr fitToPage="1"/>
  </sheetPr>
  <dimension ref="A1:Y34"/>
  <sheetViews>
    <sheetView workbookViewId="0">
      <selection activeCell="O7" sqref="O7:O10"/>
    </sheetView>
  </sheetViews>
  <sheetFormatPr defaultColWidth="11" defaultRowHeight="15.75" x14ac:dyDescent="0.25"/>
  <cols>
    <col min="1" max="2" width="3.625" customWidth="1"/>
    <col min="3" max="3" width="22.125" customWidth="1"/>
    <col min="4" max="4" width="3.875" customWidth="1"/>
    <col min="5" max="6" width="3.625" customWidth="1"/>
    <col min="7" max="7" width="19.75" customWidth="1"/>
    <col min="8" max="8" width="3.375" customWidth="1"/>
    <col min="9" max="10" width="3.625" customWidth="1"/>
    <col min="11" max="11" width="28.25" customWidth="1"/>
    <col min="12" max="12" width="4.5" customWidth="1"/>
    <col min="13" max="14" width="3.625" customWidth="1"/>
    <col min="15" max="15" width="23.125" customWidth="1"/>
    <col min="16" max="16" width="3.625" customWidth="1"/>
    <col min="17" max="17" width="4.75" customWidth="1"/>
    <col min="18" max="18" width="3.625" customWidth="1"/>
    <col min="19" max="19" width="28.75" customWidth="1"/>
    <col min="20" max="20" width="3" customWidth="1"/>
    <col min="21" max="22" width="3.625" customWidth="1"/>
    <col min="23" max="23" width="14.25" customWidth="1"/>
    <col min="24" max="24" width="3.5" hidden="1" customWidth="1"/>
    <col min="25" max="25" width="6.625" customWidth="1"/>
  </cols>
  <sheetData>
    <row r="1" spans="1:24" ht="30" x14ac:dyDescent="0.4">
      <c r="A1" s="302" t="s">
        <v>167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  <c r="V1" s="303"/>
      <c r="W1" s="303"/>
      <c r="X1" s="304"/>
    </row>
    <row r="2" spans="1:24" ht="18" x14ac:dyDescent="0.25">
      <c r="A2" s="184" t="s">
        <v>54</v>
      </c>
      <c r="B2" s="181"/>
      <c r="C2" s="182"/>
      <c r="D2" s="183"/>
      <c r="E2" s="180" t="s">
        <v>55</v>
      </c>
      <c r="F2" s="181"/>
      <c r="G2" s="182"/>
      <c r="H2" s="183"/>
      <c r="I2" s="180" t="s">
        <v>56</v>
      </c>
      <c r="J2" s="181"/>
      <c r="K2" s="182"/>
      <c r="L2" s="183"/>
      <c r="M2" s="180" t="s">
        <v>57</v>
      </c>
      <c r="N2" s="181"/>
      <c r="O2" s="182"/>
      <c r="P2" s="183"/>
      <c r="Q2" s="180" t="s">
        <v>58</v>
      </c>
      <c r="R2" s="181"/>
      <c r="S2" s="182"/>
      <c r="T2" s="183"/>
      <c r="U2" s="180" t="s">
        <v>59</v>
      </c>
      <c r="V2" s="181"/>
      <c r="W2" s="182"/>
      <c r="X2" s="183"/>
    </row>
    <row r="3" spans="1:24" ht="33.75" customHeight="1" x14ac:dyDescent="0.25">
      <c r="A3" s="129">
        <v>1</v>
      </c>
      <c r="B3" s="130" t="s">
        <v>92</v>
      </c>
      <c r="C3" s="131"/>
      <c r="D3" s="136" t="s">
        <v>88</v>
      </c>
      <c r="E3" s="129">
        <v>1</v>
      </c>
      <c r="F3" s="130" t="s">
        <v>92</v>
      </c>
      <c r="G3" s="219" t="s">
        <v>183</v>
      </c>
      <c r="H3" s="132" t="s">
        <v>88</v>
      </c>
      <c r="I3" s="125">
        <v>1</v>
      </c>
      <c r="J3" s="126" t="s">
        <v>95</v>
      </c>
      <c r="K3" s="226" t="s">
        <v>238</v>
      </c>
      <c r="L3" s="135"/>
      <c r="M3" s="125">
        <v>1</v>
      </c>
      <c r="N3" s="126" t="s">
        <v>94</v>
      </c>
      <c r="O3" s="127"/>
      <c r="P3" s="128"/>
      <c r="Q3" s="129">
        <v>1</v>
      </c>
      <c r="R3" s="130" t="s">
        <v>97</v>
      </c>
      <c r="S3" s="131"/>
      <c r="T3" s="136" t="s">
        <v>88</v>
      </c>
      <c r="U3" s="147">
        <v>1</v>
      </c>
      <c r="V3" s="148" t="s">
        <v>95</v>
      </c>
      <c r="W3" s="149" t="s">
        <v>158</v>
      </c>
      <c r="X3" s="150"/>
    </row>
    <row r="4" spans="1:24" x14ac:dyDescent="0.25">
      <c r="A4" s="129">
        <v>2</v>
      </c>
      <c r="B4" s="130" t="s">
        <v>97</v>
      </c>
      <c r="C4" s="131"/>
      <c r="D4" s="136" t="s">
        <v>88</v>
      </c>
      <c r="E4" s="129">
        <v>2</v>
      </c>
      <c r="F4" s="130" t="s">
        <v>97</v>
      </c>
      <c r="G4" s="131"/>
      <c r="H4" s="132" t="s">
        <v>88</v>
      </c>
      <c r="I4" s="125">
        <v>2</v>
      </c>
      <c r="J4" s="126" t="s">
        <v>91</v>
      </c>
      <c r="K4" s="222" t="s">
        <v>176</v>
      </c>
      <c r="L4" s="135" t="s">
        <v>88</v>
      </c>
      <c r="M4" s="125">
        <v>2</v>
      </c>
      <c r="N4" s="126" t="s">
        <v>96</v>
      </c>
      <c r="O4" s="219" t="s">
        <v>291</v>
      </c>
      <c r="P4" s="128" t="s">
        <v>88</v>
      </c>
      <c r="Q4" s="125">
        <v>2</v>
      </c>
      <c r="R4" s="126" t="s">
        <v>93</v>
      </c>
      <c r="S4" s="127" t="s">
        <v>254</v>
      </c>
      <c r="T4" s="135">
        <v>23</v>
      </c>
      <c r="U4" s="147">
        <v>2</v>
      </c>
      <c r="V4" s="148" t="s">
        <v>91</v>
      </c>
      <c r="W4" s="149" t="s">
        <v>158</v>
      </c>
      <c r="X4" s="150" t="s">
        <v>88</v>
      </c>
    </row>
    <row r="5" spans="1:24" x14ac:dyDescent="0.25">
      <c r="A5" s="125">
        <v>3</v>
      </c>
      <c r="B5" s="126" t="s">
        <v>93</v>
      </c>
      <c r="C5" s="220" t="s">
        <v>208</v>
      </c>
      <c r="D5" s="135">
        <v>6</v>
      </c>
      <c r="E5" s="125">
        <v>3</v>
      </c>
      <c r="F5" s="126" t="s">
        <v>93</v>
      </c>
      <c r="G5" s="127"/>
      <c r="H5" s="128">
        <v>10</v>
      </c>
      <c r="I5" s="125">
        <v>3</v>
      </c>
      <c r="J5" s="126" t="s">
        <v>94</v>
      </c>
      <c r="K5" s="127" t="s">
        <v>229</v>
      </c>
      <c r="L5" s="135"/>
      <c r="M5" s="129">
        <v>3</v>
      </c>
      <c r="N5" s="130" t="s">
        <v>92</v>
      </c>
      <c r="O5" s="131"/>
      <c r="P5" s="132" t="s">
        <v>88</v>
      </c>
      <c r="Q5" s="125">
        <v>3</v>
      </c>
      <c r="R5" s="126" t="s">
        <v>95</v>
      </c>
      <c r="S5" s="127"/>
      <c r="T5" s="135"/>
      <c r="U5" s="147">
        <v>3</v>
      </c>
      <c r="V5" s="148" t="s">
        <v>94</v>
      </c>
      <c r="W5" s="149" t="s">
        <v>158</v>
      </c>
      <c r="X5" s="150"/>
    </row>
    <row r="6" spans="1:24" x14ac:dyDescent="0.25">
      <c r="A6" s="125">
        <v>4</v>
      </c>
      <c r="B6" s="126" t="s">
        <v>95</v>
      </c>
      <c r="C6" s="220" t="s">
        <v>177</v>
      </c>
      <c r="D6" s="135" t="s">
        <v>88</v>
      </c>
      <c r="E6" s="125">
        <v>4</v>
      </c>
      <c r="F6" s="126" t="s">
        <v>95</v>
      </c>
      <c r="G6" s="127"/>
      <c r="H6" s="128"/>
      <c r="I6" s="125">
        <v>4</v>
      </c>
      <c r="J6" s="126" t="s">
        <v>96</v>
      </c>
      <c r="K6" s="127"/>
      <c r="L6" s="135" t="s">
        <v>88</v>
      </c>
      <c r="M6" s="129">
        <v>4</v>
      </c>
      <c r="N6" s="130" t="s">
        <v>97</v>
      </c>
      <c r="O6" s="131"/>
      <c r="P6" s="132" t="s">
        <v>88</v>
      </c>
      <c r="Q6" s="125">
        <v>4</v>
      </c>
      <c r="R6" s="126" t="s">
        <v>91</v>
      </c>
      <c r="S6" s="222" t="s">
        <v>175</v>
      </c>
      <c r="T6" s="135" t="s">
        <v>88</v>
      </c>
      <c r="U6" s="147">
        <v>4</v>
      </c>
      <c r="V6" s="148" t="s">
        <v>96</v>
      </c>
      <c r="W6" s="149" t="s">
        <v>158</v>
      </c>
      <c r="X6" s="150" t="s">
        <v>88</v>
      </c>
    </row>
    <row r="7" spans="1:24" ht="51.75" x14ac:dyDescent="0.25">
      <c r="A7" s="125">
        <v>5</v>
      </c>
      <c r="B7" s="126" t="s">
        <v>91</v>
      </c>
      <c r="C7" s="220" t="s">
        <v>189</v>
      </c>
      <c r="D7" s="135"/>
      <c r="E7" s="125">
        <v>5</v>
      </c>
      <c r="F7" s="126" t="s">
        <v>91</v>
      </c>
      <c r="G7" s="222" t="s">
        <v>218</v>
      </c>
      <c r="H7" s="128" t="s">
        <v>88</v>
      </c>
      <c r="I7" s="129">
        <v>5</v>
      </c>
      <c r="J7" s="130" t="s">
        <v>92</v>
      </c>
      <c r="K7" s="131"/>
      <c r="L7" s="136" t="s">
        <v>88</v>
      </c>
      <c r="M7" s="125">
        <v>5</v>
      </c>
      <c r="N7" s="126" t="s">
        <v>93</v>
      </c>
      <c r="O7" s="226" t="s">
        <v>290</v>
      </c>
      <c r="P7" s="128">
        <v>19</v>
      </c>
      <c r="Q7" s="147">
        <v>5</v>
      </c>
      <c r="R7" s="148" t="s">
        <v>94</v>
      </c>
      <c r="S7" s="149" t="s">
        <v>169</v>
      </c>
      <c r="T7" s="151"/>
      <c r="U7" s="129">
        <v>5</v>
      </c>
      <c r="V7" s="130" t="s">
        <v>92</v>
      </c>
      <c r="W7" s="131"/>
      <c r="X7" s="132" t="s">
        <v>88</v>
      </c>
    </row>
    <row r="8" spans="1:24" x14ac:dyDescent="0.25">
      <c r="A8" s="125">
        <v>6</v>
      </c>
      <c r="B8" s="126" t="s">
        <v>94</v>
      </c>
      <c r="C8" s="220" t="s">
        <v>177</v>
      </c>
      <c r="D8" s="135"/>
      <c r="E8" s="125">
        <v>6</v>
      </c>
      <c r="F8" s="126" t="s">
        <v>94</v>
      </c>
      <c r="G8" s="127"/>
      <c r="H8" s="128"/>
      <c r="I8" s="129">
        <v>6</v>
      </c>
      <c r="J8" s="130" t="s">
        <v>97</v>
      </c>
      <c r="K8" s="131"/>
      <c r="L8" s="136" t="s">
        <v>88</v>
      </c>
      <c r="M8" s="125">
        <v>6</v>
      </c>
      <c r="N8" s="126" t="s">
        <v>95</v>
      </c>
      <c r="O8" s="127" t="s">
        <v>292</v>
      </c>
      <c r="P8" s="128"/>
      <c r="Q8" s="147">
        <v>6</v>
      </c>
      <c r="R8" s="148" t="s">
        <v>96</v>
      </c>
      <c r="S8" s="149" t="s">
        <v>158</v>
      </c>
      <c r="T8" s="151" t="s">
        <v>88</v>
      </c>
      <c r="U8" s="129">
        <v>6</v>
      </c>
      <c r="V8" s="130" t="s">
        <v>97</v>
      </c>
      <c r="W8" s="131"/>
      <c r="X8" s="132" t="s">
        <v>88</v>
      </c>
    </row>
    <row r="9" spans="1:24" ht="26.25" x14ac:dyDescent="0.25">
      <c r="A9" s="125">
        <v>7</v>
      </c>
      <c r="B9" s="126" t="s">
        <v>96</v>
      </c>
      <c r="C9" s="220" t="s">
        <v>177</v>
      </c>
      <c r="D9" s="135" t="s">
        <v>88</v>
      </c>
      <c r="E9" s="125">
        <v>7</v>
      </c>
      <c r="F9" s="126" t="s">
        <v>96</v>
      </c>
      <c r="G9" s="127"/>
      <c r="H9" s="128" t="s">
        <v>88</v>
      </c>
      <c r="I9" s="125">
        <v>7</v>
      </c>
      <c r="J9" s="126" t="s">
        <v>93</v>
      </c>
      <c r="K9" s="127" t="s">
        <v>289</v>
      </c>
      <c r="L9" s="135">
        <v>15</v>
      </c>
      <c r="M9" s="125">
        <v>7</v>
      </c>
      <c r="N9" s="126" t="s">
        <v>91</v>
      </c>
      <c r="O9" s="223" t="s">
        <v>293</v>
      </c>
      <c r="P9" s="128" t="s">
        <v>88</v>
      </c>
      <c r="Q9" s="129">
        <v>7</v>
      </c>
      <c r="R9" s="130" t="s">
        <v>92</v>
      </c>
      <c r="S9" s="131" t="s">
        <v>173</v>
      </c>
      <c r="T9" s="136" t="s">
        <v>88</v>
      </c>
      <c r="U9" s="147">
        <v>7</v>
      </c>
      <c r="V9" s="152" t="s">
        <v>93</v>
      </c>
      <c r="W9" s="153" t="s">
        <v>69</v>
      </c>
      <c r="X9" s="154">
        <v>28</v>
      </c>
    </row>
    <row r="10" spans="1:24" x14ac:dyDescent="0.25">
      <c r="A10" s="129">
        <v>8</v>
      </c>
      <c r="B10" s="130" t="s">
        <v>92</v>
      </c>
      <c r="C10" s="131"/>
      <c r="D10" s="136" t="s">
        <v>88</v>
      </c>
      <c r="E10" s="129">
        <v>8</v>
      </c>
      <c r="F10" s="130" t="s">
        <v>92</v>
      </c>
      <c r="G10" s="131"/>
      <c r="H10" s="132" t="s">
        <v>88</v>
      </c>
      <c r="I10" s="125">
        <v>8</v>
      </c>
      <c r="J10" s="126" t="s">
        <v>95</v>
      </c>
      <c r="K10" s="127" t="s">
        <v>252</v>
      </c>
      <c r="L10" s="135"/>
      <c r="M10" s="125">
        <v>8</v>
      </c>
      <c r="N10" s="126" t="s">
        <v>94</v>
      </c>
      <c r="O10" s="127" t="s">
        <v>294</v>
      </c>
      <c r="P10" s="128"/>
      <c r="Q10" s="129">
        <v>8</v>
      </c>
      <c r="R10" s="130" t="s">
        <v>97</v>
      </c>
      <c r="S10" s="131" t="s">
        <v>106</v>
      </c>
      <c r="T10" s="136" t="s">
        <v>88</v>
      </c>
      <c r="U10" s="147">
        <v>8</v>
      </c>
      <c r="V10" s="152" t="s">
        <v>95</v>
      </c>
      <c r="W10" s="153" t="s">
        <v>69</v>
      </c>
      <c r="X10" s="154"/>
    </row>
    <row r="11" spans="1:24" x14ac:dyDescent="0.25">
      <c r="A11" s="129">
        <v>9</v>
      </c>
      <c r="B11" s="130" t="s">
        <v>97</v>
      </c>
      <c r="C11" s="131"/>
      <c r="D11" s="136" t="s">
        <v>88</v>
      </c>
      <c r="E11" s="129">
        <v>9</v>
      </c>
      <c r="F11" s="130" t="s">
        <v>97</v>
      </c>
      <c r="G11" s="131"/>
      <c r="H11" s="132" t="s">
        <v>88</v>
      </c>
      <c r="I11" s="125">
        <v>9</v>
      </c>
      <c r="J11" s="126" t="s">
        <v>91</v>
      </c>
      <c r="K11" s="219" t="s">
        <v>273</v>
      </c>
      <c r="L11" s="135" t="s">
        <v>88</v>
      </c>
      <c r="M11" s="125">
        <v>9</v>
      </c>
      <c r="N11" s="126" t="s">
        <v>96</v>
      </c>
      <c r="O11" s="145" t="s">
        <v>295</v>
      </c>
      <c r="P11" s="128" t="s">
        <v>88</v>
      </c>
      <c r="Q11" s="147">
        <v>9</v>
      </c>
      <c r="R11" s="157" t="s">
        <v>93</v>
      </c>
      <c r="S11" s="158" t="s">
        <v>103</v>
      </c>
      <c r="T11" s="160">
        <v>24</v>
      </c>
      <c r="U11" s="147">
        <v>9</v>
      </c>
      <c r="V11" s="152" t="s">
        <v>91</v>
      </c>
      <c r="W11" s="153" t="s">
        <v>69</v>
      </c>
      <c r="X11" s="154" t="s">
        <v>88</v>
      </c>
    </row>
    <row r="12" spans="1:24" ht="26.25" x14ac:dyDescent="0.25">
      <c r="A12" s="147">
        <v>10</v>
      </c>
      <c r="B12" s="148" t="s">
        <v>93</v>
      </c>
      <c r="C12" s="218" t="s">
        <v>268</v>
      </c>
      <c r="D12" s="179">
        <v>7</v>
      </c>
      <c r="E12" s="125">
        <v>10</v>
      </c>
      <c r="F12" s="126" t="s">
        <v>93</v>
      </c>
      <c r="G12" s="127"/>
      <c r="H12" s="128">
        <v>11</v>
      </c>
      <c r="I12" s="125">
        <v>10</v>
      </c>
      <c r="J12" s="126" t="s">
        <v>94</v>
      </c>
      <c r="K12" s="127"/>
      <c r="L12" s="135"/>
      <c r="M12" s="129">
        <v>10</v>
      </c>
      <c r="N12" s="130" t="s">
        <v>92</v>
      </c>
      <c r="O12" s="131"/>
      <c r="P12" s="132" t="s">
        <v>88</v>
      </c>
      <c r="Q12" s="125">
        <v>10</v>
      </c>
      <c r="R12" s="126" t="s">
        <v>95</v>
      </c>
      <c r="S12" s="127"/>
      <c r="T12" s="135"/>
      <c r="U12" s="147">
        <v>10</v>
      </c>
      <c r="V12" s="152" t="s">
        <v>94</v>
      </c>
      <c r="W12" s="153" t="s">
        <v>69</v>
      </c>
      <c r="X12" s="154"/>
    </row>
    <row r="13" spans="1:24" ht="26.25" x14ac:dyDescent="0.25">
      <c r="A13" s="147">
        <v>11</v>
      </c>
      <c r="B13" s="148" t="s">
        <v>95</v>
      </c>
      <c r="C13" s="218" t="s">
        <v>268</v>
      </c>
      <c r="D13" s="179" t="s">
        <v>88</v>
      </c>
      <c r="E13" s="125">
        <v>11</v>
      </c>
      <c r="F13" s="126" t="s">
        <v>95</v>
      </c>
      <c r="G13" s="127"/>
      <c r="H13" s="128"/>
      <c r="I13" s="125">
        <v>11</v>
      </c>
      <c r="J13" s="126" t="s">
        <v>96</v>
      </c>
      <c r="K13" s="127"/>
      <c r="L13" s="135" t="s">
        <v>88</v>
      </c>
      <c r="M13" s="129">
        <v>11</v>
      </c>
      <c r="N13" s="130" t="s">
        <v>97</v>
      </c>
      <c r="O13" s="131"/>
      <c r="P13" s="132" t="s">
        <v>88</v>
      </c>
      <c r="Q13" s="125">
        <v>11</v>
      </c>
      <c r="R13" s="126" t="s">
        <v>91</v>
      </c>
      <c r="S13" s="222" t="s">
        <v>258</v>
      </c>
      <c r="T13" s="135" t="s">
        <v>88</v>
      </c>
      <c r="U13" s="147">
        <v>11</v>
      </c>
      <c r="V13" s="152" t="s">
        <v>96</v>
      </c>
      <c r="W13" s="153" t="s">
        <v>69</v>
      </c>
      <c r="X13" s="154" t="s">
        <v>88</v>
      </c>
    </row>
    <row r="14" spans="1:24" ht="26.25" x14ac:dyDescent="0.25">
      <c r="A14" s="147">
        <v>12</v>
      </c>
      <c r="B14" s="148" t="s">
        <v>91</v>
      </c>
      <c r="C14" s="218" t="s">
        <v>268</v>
      </c>
      <c r="D14" s="179"/>
      <c r="E14" s="125">
        <v>12</v>
      </c>
      <c r="F14" s="126" t="s">
        <v>91</v>
      </c>
      <c r="G14" s="222" t="s">
        <v>219</v>
      </c>
      <c r="H14" s="128" t="s">
        <v>88</v>
      </c>
      <c r="I14" s="129">
        <v>12</v>
      </c>
      <c r="J14" s="130" t="s">
        <v>92</v>
      </c>
      <c r="K14" s="131"/>
      <c r="L14" s="136" t="s">
        <v>88</v>
      </c>
      <c r="M14" s="125">
        <v>12</v>
      </c>
      <c r="N14" s="126" t="s">
        <v>93</v>
      </c>
      <c r="O14" s="127"/>
      <c r="P14" s="128">
        <v>20</v>
      </c>
      <c r="Q14" s="125">
        <v>12</v>
      </c>
      <c r="R14" s="126" t="s">
        <v>94</v>
      </c>
      <c r="S14" s="127"/>
      <c r="T14" s="135"/>
      <c r="U14" s="129">
        <v>12</v>
      </c>
      <c r="V14" s="130" t="s">
        <v>92</v>
      </c>
      <c r="W14" s="131"/>
      <c r="X14" s="132" t="s">
        <v>88</v>
      </c>
    </row>
    <row r="15" spans="1:24" ht="26.25" x14ac:dyDescent="0.25">
      <c r="A15" s="147">
        <v>13</v>
      </c>
      <c r="B15" s="148" t="s">
        <v>94</v>
      </c>
      <c r="C15" s="218" t="s">
        <v>268</v>
      </c>
      <c r="D15" s="179"/>
      <c r="E15" s="125">
        <v>13</v>
      </c>
      <c r="F15" s="126" t="s">
        <v>94</v>
      </c>
      <c r="G15" s="127"/>
      <c r="H15" s="128"/>
      <c r="I15" s="129">
        <v>13</v>
      </c>
      <c r="J15" s="130" t="s">
        <v>97</v>
      </c>
      <c r="K15" s="131" t="s">
        <v>105</v>
      </c>
      <c r="L15" s="136" t="s">
        <v>88</v>
      </c>
      <c r="M15" s="125">
        <v>13</v>
      </c>
      <c r="N15" s="126" t="s">
        <v>95</v>
      </c>
      <c r="O15" s="127" t="s">
        <v>250</v>
      </c>
      <c r="P15" s="128"/>
      <c r="Q15" s="125">
        <v>13</v>
      </c>
      <c r="R15" s="126" t="s">
        <v>96</v>
      </c>
      <c r="S15" s="219" t="s">
        <v>178</v>
      </c>
      <c r="T15" s="135" t="s">
        <v>88</v>
      </c>
      <c r="U15" s="129">
        <v>13</v>
      </c>
      <c r="V15" s="130" t="s">
        <v>97</v>
      </c>
      <c r="W15" s="131"/>
      <c r="X15" s="132" t="s">
        <v>88</v>
      </c>
    </row>
    <row r="16" spans="1:24" ht="26.25" x14ac:dyDescent="0.25">
      <c r="A16" s="147">
        <v>14</v>
      </c>
      <c r="B16" s="148" t="s">
        <v>96</v>
      </c>
      <c r="C16" s="218" t="s">
        <v>268</v>
      </c>
      <c r="D16" s="179" t="s">
        <v>88</v>
      </c>
      <c r="E16" s="125">
        <v>14</v>
      </c>
      <c r="F16" s="126" t="s">
        <v>96</v>
      </c>
      <c r="G16" s="127"/>
      <c r="H16" s="128" t="s">
        <v>88</v>
      </c>
      <c r="I16" s="147">
        <v>14</v>
      </c>
      <c r="J16" s="148" t="s">
        <v>93</v>
      </c>
      <c r="K16" s="149" t="s">
        <v>158</v>
      </c>
      <c r="L16" s="151">
        <v>16</v>
      </c>
      <c r="M16" s="125">
        <v>14</v>
      </c>
      <c r="N16" s="126" t="s">
        <v>91</v>
      </c>
      <c r="O16" s="222" t="s">
        <v>186</v>
      </c>
      <c r="P16" s="128" t="s">
        <v>88</v>
      </c>
      <c r="Q16" s="129">
        <v>14</v>
      </c>
      <c r="R16" s="130" t="s">
        <v>92</v>
      </c>
      <c r="S16" s="131"/>
      <c r="T16" s="136" t="s">
        <v>88</v>
      </c>
      <c r="U16" s="147">
        <v>14</v>
      </c>
      <c r="V16" s="152" t="s">
        <v>93</v>
      </c>
      <c r="W16" s="153" t="s">
        <v>69</v>
      </c>
      <c r="X16" s="154">
        <v>29</v>
      </c>
    </row>
    <row r="17" spans="1:24" x14ac:dyDescent="0.25">
      <c r="A17" s="129">
        <v>15</v>
      </c>
      <c r="B17" s="130" t="s">
        <v>92</v>
      </c>
      <c r="C17" s="131"/>
      <c r="D17" s="136" t="s">
        <v>88</v>
      </c>
      <c r="E17" s="129">
        <v>15</v>
      </c>
      <c r="F17" s="130" t="s">
        <v>92</v>
      </c>
      <c r="G17" s="131"/>
      <c r="H17" s="132" t="s">
        <v>88</v>
      </c>
      <c r="I17" s="147">
        <v>15</v>
      </c>
      <c r="J17" s="148" t="s">
        <v>95</v>
      </c>
      <c r="K17" s="149" t="s">
        <v>158</v>
      </c>
      <c r="L17" s="151"/>
      <c r="M17" s="125">
        <v>15</v>
      </c>
      <c r="N17" s="126" t="s">
        <v>94</v>
      </c>
      <c r="O17" s="127"/>
      <c r="P17" s="128"/>
      <c r="Q17" s="129">
        <v>15</v>
      </c>
      <c r="R17" s="130" t="s">
        <v>97</v>
      </c>
      <c r="S17" s="131"/>
      <c r="T17" s="136" t="s">
        <v>88</v>
      </c>
      <c r="U17" s="147">
        <v>15</v>
      </c>
      <c r="V17" s="152" t="s">
        <v>95</v>
      </c>
      <c r="W17" s="153" t="s">
        <v>69</v>
      </c>
      <c r="X17" s="154"/>
    </row>
    <row r="18" spans="1:24" x14ac:dyDescent="0.25">
      <c r="A18" s="129">
        <v>16</v>
      </c>
      <c r="B18" s="130" t="s">
        <v>97</v>
      </c>
      <c r="C18" s="131"/>
      <c r="D18" s="136" t="s">
        <v>88</v>
      </c>
      <c r="E18" s="129">
        <v>16</v>
      </c>
      <c r="F18" s="130" t="s">
        <v>97</v>
      </c>
      <c r="G18" s="131"/>
      <c r="H18" s="132" t="s">
        <v>88</v>
      </c>
      <c r="I18" s="147">
        <v>16</v>
      </c>
      <c r="J18" s="148" t="s">
        <v>91</v>
      </c>
      <c r="K18" s="149" t="s">
        <v>158</v>
      </c>
      <c r="L18" s="151" t="s">
        <v>88</v>
      </c>
      <c r="M18" s="125">
        <v>16</v>
      </c>
      <c r="N18" s="126" t="s">
        <v>96</v>
      </c>
      <c r="O18" s="178" t="s">
        <v>170</v>
      </c>
      <c r="P18" s="128" t="s">
        <v>88</v>
      </c>
      <c r="Q18" s="125">
        <v>16</v>
      </c>
      <c r="R18" s="126" t="s">
        <v>93</v>
      </c>
      <c r="S18" s="127"/>
      <c r="T18" s="135">
        <v>25</v>
      </c>
      <c r="U18" s="147">
        <v>16</v>
      </c>
      <c r="V18" s="152" t="s">
        <v>91</v>
      </c>
      <c r="W18" s="153" t="s">
        <v>69</v>
      </c>
      <c r="X18" s="154" t="s">
        <v>88</v>
      </c>
    </row>
    <row r="19" spans="1:24" x14ac:dyDescent="0.25">
      <c r="A19" s="125">
        <v>17</v>
      </c>
      <c r="B19" s="126" t="s">
        <v>93</v>
      </c>
      <c r="C19" s="127"/>
      <c r="D19" s="135">
        <v>8</v>
      </c>
      <c r="E19" s="125">
        <v>17</v>
      </c>
      <c r="F19" s="126" t="s">
        <v>93</v>
      </c>
      <c r="G19" s="127"/>
      <c r="H19" s="128">
        <v>12</v>
      </c>
      <c r="I19" s="147">
        <v>17</v>
      </c>
      <c r="J19" s="157" t="s">
        <v>94</v>
      </c>
      <c r="K19" s="158" t="s">
        <v>60</v>
      </c>
      <c r="L19" s="160"/>
      <c r="M19" s="129">
        <v>17</v>
      </c>
      <c r="N19" s="130" t="s">
        <v>92</v>
      </c>
      <c r="O19" s="131"/>
      <c r="P19" s="132" t="s">
        <v>88</v>
      </c>
      <c r="Q19" s="125">
        <v>17</v>
      </c>
      <c r="R19" s="126" t="s">
        <v>95</v>
      </c>
      <c r="S19" s="127"/>
      <c r="T19" s="135"/>
      <c r="U19" s="147">
        <v>17</v>
      </c>
      <c r="V19" s="152" t="s">
        <v>94</v>
      </c>
      <c r="W19" s="153" t="s">
        <v>69</v>
      </c>
      <c r="X19" s="154"/>
    </row>
    <row r="20" spans="1:24" x14ac:dyDescent="0.25">
      <c r="A20" s="125">
        <v>18</v>
      </c>
      <c r="B20" s="126" t="s">
        <v>95</v>
      </c>
      <c r="C20" s="127"/>
      <c r="D20" s="135" t="s">
        <v>88</v>
      </c>
      <c r="E20" s="125">
        <v>18</v>
      </c>
      <c r="F20" s="126" t="s">
        <v>95</v>
      </c>
      <c r="G20" s="127"/>
      <c r="H20" s="128"/>
      <c r="I20" s="147">
        <v>18</v>
      </c>
      <c r="J20" s="157" t="s">
        <v>96</v>
      </c>
      <c r="K20" s="158" t="s">
        <v>101</v>
      </c>
      <c r="L20" s="160" t="s">
        <v>88</v>
      </c>
      <c r="M20" s="129">
        <v>18</v>
      </c>
      <c r="N20" s="130" t="s">
        <v>97</v>
      </c>
      <c r="O20" s="267"/>
      <c r="P20" s="268"/>
      <c r="Q20" s="125">
        <v>18</v>
      </c>
      <c r="R20" s="126" t="s">
        <v>91</v>
      </c>
      <c r="S20" s="222" t="s">
        <v>257</v>
      </c>
      <c r="T20" s="135" t="s">
        <v>88</v>
      </c>
      <c r="U20" s="147">
        <v>18</v>
      </c>
      <c r="V20" s="155" t="s">
        <v>96</v>
      </c>
      <c r="W20" s="153" t="s">
        <v>69</v>
      </c>
      <c r="X20" s="154" t="s">
        <v>88</v>
      </c>
    </row>
    <row r="21" spans="1:24" ht="26.25" x14ac:dyDescent="0.25">
      <c r="A21" s="125">
        <v>19</v>
      </c>
      <c r="B21" s="126" t="s">
        <v>91</v>
      </c>
      <c r="C21" s="222" t="s">
        <v>257</v>
      </c>
      <c r="D21" s="135"/>
      <c r="E21" s="125">
        <v>19</v>
      </c>
      <c r="F21" s="126" t="s">
        <v>91</v>
      </c>
      <c r="G21" s="127" t="s">
        <v>190</v>
      </c>
      <c r="H21" s="128" t="s">
        <v>88</v>
      </c>
      <c r="I21" s="129">
        <v>19</v>
      </c>
      <c r="J21" s="130" t="s">
        <v>92</v>
      </c>
      <c r="K21" s="131"/>
      <c r="L21" s="136" t="s">
        <v>88</v>
      </c>
      <c r="M21" s="125">
        <v>19</v>
      </c>
      <c r="N21" s="126" t="s">
        <v>93</v>
      </c>
      <c r="O21" s="226" t="s">
        <v>249</v>
      </c>
      <c r="P21" s="128">
        <v>21</v>
      </c>
      <c r="Q21" s="125">
        <v>19</v>
      </c>
      <c r="R21" s="126" t="s">
        <v>94</v>
      </c>
      <c r="S21" s="127"/>
      <c r="T21" s="135"/>
      <c r="U21" s="129">
        <v>19</v>
      </c>
      <c r="V21" s="130" t="s">
        <v>92</v>
      </c>
      <c r="W21" s="131"/>
      <c r="X21" s="132" t="s">
        <v>88</v>
      </c>
    </row>
    <row r="22" spans="1:24" x14ac:dyDescent="0.25">
      <c r="A22" s="125">
        <v>20</v>
      </c>
      <c r="B22" s="126" t="s">
        <v>94</v>
      </c>
      <c r="C22" s="127"/>
      <c r="D22" s="135"/>
      <c r="E22" s="125">
        <v>20</v>
      </c>
      <c r="F22" s="126" t="s">
        <v>94</v>
      </c>
      <c r="G22" s="127"/>
      <c r="H22" s="128"/>
      <c r="I22" s="129">
        <v>20</v>
      </c>
      <c r="J22" s="130" t="s">
        <v>97</v>
      </c>
      <c r="K22" s="131" t="s">
        <v>73</v>
      </c>
      <c r="L22" s="136" t="s">
        <v>88</v>
      </c>
      <c r="M22" s="125">
        <v>20</v>
      </c>
      <c r="N22" s="126" t="s">
        <v>95</v>
      </c>
      <c r="O22" s="127" t="s">
        <v>245</v>
      </c>
      <c r="P22" s="128"/>
      <c r="Q22" s="125">
        <v>20</v>
      </c>
      <c r="R22" s="134" t="s">
        <v>96</v>
      </c>
      <c r="S22" s="229" t="s">
        <v>181</v>
      </c>
      <c r="T22" s="135" t="s">
        <v>88</v>
      </c>
      <c r="U22" s="129">
        <v>20</v>
      </c>
      <c r="V22" s="130" t="s">
        <v>97</v>
      </c>
      <c r="W22" s="131"/>
      <c r="X22" s="132" t="s">
        <v>88</v>
      </c>
    </row>
    <row r="23" spans="1:24" ht="26.25" x14ac:dyDescent="0.25">
      <c r="A23" s="125">
        <v>21</v>
      </c>
      <c r="B23" s="126" t="s">
        <v>96</v>
      </c>
      <c r="C23" s="127"/>
      <c r="D23" s="135" t="s">
        <v>88</v>
      </c>
      <c r="E23" s="125">
        <v>21</v>
      </c>
      <c r="F23" s="126" t="s">
        <v>96</v>
      </c>
      <c r="G23" s="225" t="s">
        <v>199</v>
      </c>
      <c r="H23" s="128" t="s">
        <v>88</v>
      </c>
      <c r="I23" s="147">
        <v>21</v>
      </c>
      <c r="J23" s="157" t="s">
        <v>93</v>
      </c>
      <c r="K23" s="158" t="s">
        <v>145</v>
      </c>
      <c r="L23" s="160">
        <v>17</v>
      </c>
      <c r="M23" s="125">
        <v>21</v>
      </c>
      <c r="N23" s="126" t="s">
        <v>91</v>
      </c>
      <c r="O23" s="223" t="s">
        <v>296</v>
      </c>
      <c r="P23" s="128" t="s">
        <v>88</v>
      </c>
      <c r="Q23" s="129">
        <v>21</v>
      </c>
      <c r="R23" s="130" t="s">
        <v>92</v>
      </c>
      <c r="S23" s="131"/>
      <c r="T23" s="136" t="s">
        <v>88</v>
      </c>
      <c r="U23" s="147">
        <v>21</v>
      </c>
      <c r="V23" s="155" t="s">
        <v>93</v>
      </c>
      <c r="W23" s="153" t="s">
        <v>69</v>
      </c>
      <c r="X23" s="154">
        <v>30</v>
      </c>
    </row>
    <row r="24" spans="1:24" ht="26.25" x14ac:dyDescent="0.25">
      <c r="A24" s="129">
        <v>22</v>
      </c>
      <c r="B24" s="130" t="s">
        <v>92</v>
      </c>
      <c r="C24" s="131"/>
      <c r="D24" s="136" t="s">
        <v>88</v>
      </c>
      <c r="E24" s="129">
        <v>22</v>
      </c>
      <c r="F24" s="130" t="s">
        <v>92</v>
      </c>
      <c r="G24" s="131"/>
      <c r="H24" s="132" t="s">
        <v>88</v>
      </c>
      <c r="I24" s="125">
        <v>22</v>
      </c>
      <c r="J24" s="126" t="s">
        <v>95</v>
      </c>
      <c r="K24" s="226" t="s">
        <v>242</v>
      </c>
      <c r="L24" s="135"/>
      <c r="M24" s="125">
        <v>22</v>
      </c>
      <c r="N24" s="126" t="s">
        <v>94</v>
      </c>
      <c r="O24" s="127"/>
      <c r="P24" s="128"/>
      <c r="Q24" s="129">
        <v>22</v>
      </c>
      <c r="R24" s="130" t="s">
        <v>97</v>
      </c>
      <c r="S24" s="131"/>
      <c r="T24" s="136" t="s">
        <v>88</v>
      </c>
      <c r="U24" s="147">
        <v>22</v>
      </c>
      <c r="V24" s="152" t="s">
        <v>95</v>
      </c>
      <c r="W24" s="153" t="s">
        <v>69</v>
      </c>
      <c r="X24" s="154"/>
    </row>
    <row r="25" spans="1:24" x14ac:dyDescent="0.25">
      <c r="A25" s="129">
        <v>23</v>
      </c>
      <c r="B25" s="130" t="s">
        <v>97</v>
      </c>
      <c r="C25" s="131"/>
      <c r="D25" s="136" t="s">
        <v>88</v>
      </c>
      <c r="E25" s="129">
        <v>23</v>
      </c>
      <c r="F25" s="130" t="s">
        <v>97</v>
      </c>
      <c r="G25" s="131"/>
      <c r="H25" s="132" t="s">
        <v>88</v>
      </c>
      <c r="I25" s="125">
        <v>23</v>
      </c>
      <c r="J25" s="126" t="s">
        <v>91</v>
      </c>
      <c r="K25" s="222" t="s">
        <v>174</v>
      </c>
      <c r="L25" s="135" t="s">
        <v>88</v>
      </c>
      <c r="M25" s="125">
        <v>23</v>
      </c>
      <c r="N25" s="134" t="s">
        <v>96</v>
      </c>
      <c r="O25" s="127"/>
      <c r="P25" s="128" t="s">
        <v>88</v>
      </c>
      <c r="Q25" s="125">
        <v>23</v>
      </c>
      <c r="R25" s="134" t="s">
        <v>93</v>
      </c>
      <c r="S25" s="127"/>
      <c r="T25" s="135">
        <v>26</v>
      </c>
      <c r="U25" s="147">
        <v>23</v>
      </c>
      <c r="V25" s="152" t="s">
        <v>91</v>
      </c>
      <c r="W25" s="153" t="s">
        <v>69</v>
      </c>
      <c r="X25" s="154" t="s">
        <v>88</v>
      </c>
    </row>
    <row r="26" spans="1:24" x14ac:dyDescent="0.25">
      <c r="A26" s="125">
        <v>24</v>
      </c>
      <c r="B26" s="126" t="s">
        <v>93</v>
      </c>
      <c r="C26" s="127"/>
      <c r="D26" s="135">
        <v>9</v>
      </c>
      <c r="E26" s="125">
        <v>24</v>
      </c>
      <c r="F26" s="126" t="s">
        <v>93</v>
      </c>
      <c r="G26" s="127"/>
      <c r="H26" s="128">
        <v>13</v>
      </c>
      <c r="I26" s="125">
        <v>24</v>
      </c>
      <c r="J26" s="126" t="s">
        <v>94</v>
      </c>
      <c r="K26" s="127" t="s">
        <v>228</v>
      </c>
      <c r="L26" s="135"/>
      <c r="M26" s="129">
        <v>24</v>
      </c>
      <c r="N26" s="130" t="s">
        <v>92</v>
      </c>
      <c r="O26" s="131"/>
      <c r="P26" s="132" t="s">
        <v>88</v>
      </c>
      <c r="Q26" s="125">
        <v>24</v>
      </c>
      <c r="R26" s="126" t="s">
        <v>95</v>
      </c>
      <c r="S26" s="127"/>
      <c r="T26" s="135"/>
      <c r="U26" s="147">
        <v>24</v>
      </c>
      <c r="V26" s="152" t="s">
        <v>94</v>
      </c>
      <c r="W26" s="153" t="s">
        <v>69</v>
      </c>
      <c r="X26" s="154"/>
    </row>
    <row r="27" spans="1:24" x14ac:dyDescent="0.25">
      <c r="A27" s="125">
        <v>25</v>
      </c>
      <c r="B27" s="126" t="s">
        <v>95</v>
      </c>
      <c r="C27" s="127"/>
      <c r="D27" s="135" t="s">
        <v>88</v>
      </c>
      <c r="E27" s="125">
        <v>25</v>
      </c>
      <c r="F27" s="126" t="s">
        <v>95</v>
      </c>
      <c r="G27" s="127"/>
      <c r="H27" s="128"/>
      <c r="I27" s="125">
        <v>25</v>
      </c>
      <c r="J27" s="134" t="s">
        <v>96</v>
      </c>
      <c r="K27" s="127" t="s">
        <v>214</v>
      </c>
      <c r="L27" s="135" t="s">
        <v>88</v>
      </c>
      <c r="M27" s="129">
        <v>25</v>
      </c>
      <c r="N27" s="130" t="s">
        <v>97</v>
      </c>
      <c r="O27" s="131"/>
      <c r="P27" s="132" t="s">
        <v>88</v>
      </c>
      <c r="Q27" s="125">
        <v>25</v>
      </c>
      <c r="R27" s="126" t="s">
        <v>91</v>
      </c>
      <c r="S27" s="178" t="s">
        <v>165</v>
      </c>
      <c r="T27" s="135" t="s">
        <v>88</v>
      </c>
      <c r="U27" s="147">
        <v>25</v>
      </c>
      <c r="V27" s="152" t="s">
        <v>96</v>
      </c>
      <c r="W27" s="153" t="s">
        <v>69</v>
      </c>
      <c r="X27" s="154" t="s">
        <v>88</v>
      </c>
    </row>
    <row r="28" spans="1:24" ht="26.25" x14ac:dyDescent="0.25">
      <c r="A28" s="125">
        <v>26</v>
      </c>
      <c r="B28" s="126" t="s">
        <v>91</v>
      </c>
      <c r="C28" s="222" t="s">
        <v>174</v>
      </c>
      <c r="D28" s="135"/>
      <c r="E28" s="125">
        <v>26</v>
      </c>
      <c r="F28" s="126" t="s">
        <v>91</v>
      </c>
      <c r="G28" s="127" t="s">
        <v>190</v>
      </c>
      <c r="H28" s="128" t="s">
        <v>88</v>
      </c>
      <c r="I28" s="129">
        <v>26</v>
      </c>
      <c r="J28" s="130" t="s">
        <v>92</v>
      </c>
      <c r="K28" s="131"/>
      <c r="L28" s="136" t="s">
        <v>88</v>
      </c>
      <c r="M28" s="125">
        <v>26</v>
      </c>
      <c r="N28" s="134" t="s">
        <v>93</v>
      </c>
      <c r="O28" s="227" t="s">
        <v>297</v>
      </c>
      <c r="P28" s="128">
        <v>22</v>
      </c>
      <c r="Q28" s="125">
        <v>26</v>
      </c>
      <c r="R28" s="126" t="s">
        <v>94</v>
      </c>
      <c r="S28" s="218" t="s">
        <v>180</v>
      </c>
      <c r="T28" s="135"/>
      <c r="U28" s="129">
        <v>26</v>
      </c>
      <c r="V28" s="133" t="s">
        <v>92</v>
      </c>
      <c r="W28" s="131"/>
      <c r="X28" s="132" t="s">
        <v>88</v>
      </c>
    </row>
    <row r="29" spans="1:24" x14ac:dyDescent="0.25">
      <c r="A29" s="125">
        <v>27</v>
      </c>
      <c r="B29" s="126" t="s">
        <v>94</v>
      </c>
      <c r="C29" s="127"/>
      <c r="D29" s="135"/>
      <c r="E29" s="125">
        <v>27</v>
      </c>
      <c r="F29" s="126" t="s">
        <v>94</v>
      </c>
      <c r="G29" s="127"/>
      <c r="H29" s="128"/>
      <c r="I29" s="129">
        <v>27</v>
      </c>
      <c r="J29" s="130" t="s">
        <v>97</v>
      </c>
      <c r="K29" s="131"/>
      <c r="L29" s="136" t="s">
        <v>88</v>
      </c>
      <c r="M29" s="125">
        <v>27</v>
      </c>
      <c r="N29" s="126" t="s">
        <v>95</v>
      </c>
      <c r="O29" s="127" t="s">
        <v>222</v>
      </c>
      <c r="P29" s="128"/>
      <c r="Q29" s="125">
        <v>27</v>
      </c>
      <c r="R29" s="126" t="s">
        <v>96</v>
      </c>
      <c r="S29" s="178" t="s">
        <v>166</v>
      </c>
      <c r="T29" s="135" t="s">
        <v>88</v>
      </c>
      <c r="U29" s="129">
        <v>27</v>
      </c>
      <c r="V29" s="130" t="s">
        <v>97</v>
      </c>
      <c r="W29" s="131"/>
      <c r="X29" s="132" t="s">
        <v>88</v>
      </c>
    </row>
    <row r="30" spans="1:24" x14ac:dyDescent="0.25">
      <c r="A30" s="125">
        <v>28</v>
      </c>
      <c r="B30" s="134" t="s">
        <v>96</v>
      </c>
      <c r="C30" s="127"/>
      <c r="D30" s="128" t="s">
        <v>88</v>
      </c>
      <c r="E30" s="125">
        <v>28</v>
      </c>
      <c r="F30" s="134" t="s">
        <v>96</v>
      </c>
      <c r="G30" s="127"/>
      <c r="H30" s="128" t="s">
        <v>88</v>
      </c>
      <c r="I30" s="125">
        <v>28</v>
      </c>
      <c r="J30" s="134" t="s">
        <v>93</v>
      </c>
      <c r="K30" s="127" t="s">
        <v>223</v>
      </c>
      <c r="L30" s="135">
        <v>18</v>
      </c>
      <c r="M30" s="125">
        <v>28</v>
      </c>
      <c r="N30" s="126" t="s">
        <v>91</v>
      </c>
      <c r="O30" s="222" t="s">
        <v>190</v>
      </c>
      <c r="P30" s="128" t="s">
        <v>88</v>
      </c>
      <c r="Q30" s="129">
        <v>28</v>
      </c>
      <c r="R30" s="133" t="s">
        <v>92</v>
      </c>
      <c r="S30" s="131"/>
      <c r="T30" s="136" t="s">
        <v>88</v>
      </c>
      <c r="U30" s="147">
        <v>28</v>
      </c>
      <c r="V30" s="152" t="s">
        <v>93</v>
      </c>
      <c r="W30" s="153" t="s">
        <v>69</v>
      </c>
      <c r="X30" s="154">
        <v>31</v>
      </c>
    </row>
    <row r="31" spans="1:24" x14ac:dyDescent="0.25">
      <c r="A31" s="109"/>
      <c r="B31" s="110"/>
      <c r="C31" s="111"/>
      <c r="D31" s="83"/>
      <c r="E31" s="129">
        <v>29</v>
      </c>
      <c r="F31" s="130" t="s">
        <v>92</v>
      </c>
      <c r="G31" s="131"/>
      <c r="H31" s="132" t="s">
        <v>88</v>
      </c>
      <c r="I31" s="125">
        <v>29</v>
      </c>
      <c r="J31" s="126" t="s">
        <v>95</v>
      </c>
      <c r="K31" s="127"/>
      <c r="L31" s="135"/>
      <c r="M31" s="147">
        <v>29</v>
      </c>
      <c r="N31" s="157" t="s">
        <v>94</v>
      </c>
      <c r="O31" s="158" t="s">
        <v>151</v>
      </c>
      <c r="P31" s="159"/>
      <c r="Q31" s="129">
        <v>29</v>
      </c>
      <c r="R31" s="130" t="s">
        <v>97</v>
      </c>
      <c r="S31" s="131"/>
      <c r="T31" s="136" t="s">
        <v>88</v>
      </c>
      <c r="U31" s="147">
        <v>29</v>
      </c>
      <c r="V31" s="152" t="s">
        <v>95</v>
      </c>
      <c r="W31" s="153" t="s">
        <v>69</v>
      </c>
      <c r="X31" s="154"/>
    </row>
    <row r="32" spans="1:24" x14ac:dyDescent="0.25">
      <c r="A32" s="112"/>
      <c r="B32" s="113"/>
      <c r="C32" s="114"/>
      <c r="D32" s="82"/>
      <c r="E32" s="129">
        <v>30</v>
      </c>
      <c r="F32" s="130" t="s">
        <v>97</v>
      </c>
      <c r="G32" s="131"/>
      <c r="H32" s="132" t="s">
        <v>88</v>
      </c>
      <c r="I32" s="125">
        <v>30</v>
      </c>
      <c r="J32" s="126" t="s">
        <v>91</v>
      </c>
      <c r="K32" s="222" t="s">
        <v>175</v>
      </c>
      <c r="L32" s="135" t="s">
        <v>88</v>
      </c>
      <c r="M32" s="147">
        <v>30</v>
      </c>
      <c r="N32" s="148" t="s">
        <v>96</v>
      </c>
      <c r="O32" s="149" t="s">
        <v>158</v>
      </c>
      <c r="P32" s="150" t="s">
        <v>88</v>
      </c>
      <c r="Q32" s="147">
        <v>30</v>
      </c>
      <c r="R32" s="148" t="s">
        <v>93</v>
      </c>
      <c r="S32" s="149" t="s">
        <v>158</v>
      </c>
      <c r="T32" s="151">
        <v>27</v>
      </c>
      <c r="U32" s="147">
        <v>30</v>
      </c>
      <c r="V32" s="152" t="s">
        <v>91</v>
      </c>
      <c r="W32" s="153" t="s">
        <v>69</v>
      </c>
      <c r="X32" s="154" t="s">
        <v>88</v>
      </c>
    </row>
    <row r="33" spans="1:25" ht="51.75" x14ac:dyDescent="0.25">
      <c r="E33" s="166">
        <v>31</v>
      </c>
      <c r="F33" s="167" t="s">
        <v>93</v>
      </c>
      <c r="G33" s="191" t="s">
        <v>159</v>
      </c>
      <c r="H33" s="168">
        <v>14</v>
      </c>
      <c r="I33" s="112"/>
      <c r="J33" s="113"/>
      <c r="K33" s="114"/>
      <c r="L33" s="82"/>
      <c r="M33" s="169">
        <v>31</v>
      </c>
      <c r="N33" s="170" t="s">
        <v>92</v>
      </c>
      <c r="O33" s="171"/>
      <c r="P33" s="172" t="s">
        <v>88</v>
      </c>
      <c r="Q33" s="112"/>
      <c r="R33" s="113"/>
      <c r="S33" s="114"/>
      <c r="T33" s="82"/>
      <c r="U33" s="166">
        <v>31</v>
      </c>
      <c r="V33" s="173" t="s">
        <v>94</v>
      </c>
      <c r="W33" s="224" t="s">
        <v>195</v>
      </c>
      <c r="X33" s="174"/>
    </row>
    <row r="34" spans="1:25" x14ac:dyDescent="0.25">
      <c r="A34" s="185"/>
      <c r="B34" s="185"/>
      <c r="C34" s="185"/>
      <c r="D34" s="185">
        <v>15</v>
      </c>
      <c r="E34" s="185"/>
      <c r="F34" s="185"/>
      <c r="G34" s="185"/>
      <c r="H34" s="185">
        <v>20</v>
      </c>
      <c r="I34" s="185"/>
      <c r="J34" s="185"/>
      <c r="K34" s="185"/>
      <c r="L34" s="185">
        <v>16</v>
      </c>
      <c r="M34" s="185"/>
      <c r="N34" s="185"/>
      <c r="O34" s="185"/>
      <c r="P34" s="185">
        <v>20</v>
      </c>
      <c r="Q34" s="185"/>
      <c r="R34" s="185"/>
      <c r="S34" s="185"/>
      <c r="T34" s="185">
        <v>17</v>
      </c>
      <c r="U34" s="185"/>
      <c r="V34" s="185"/>
      <c r="W34" s="185"/>
      <c r="X34" s="185"/>
      <c r="Y34" s="185">
        <f>SUM(A34:X34)</f>
        <v>88</v>
      </c>
    </row>
  </sheetData>
  <mergeCells count="2">
    <mergeCell ref="A1:X1"/>
    <mergeCell ref="O20:P20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61A90-9940-4AAF-91AA-342480A00C73}">
  <sheetPr>
    <pageSetUpPr fitToPage="1"/>
  </sheetPr>
  <dimension ref="A1:AW35"/>
  <sheetViews>
    <sheetView tabSelected="1" workbookViewId="0">
      <selection activeCell="W13" sqref="W13"/>
    </sheetView>
  </sheetViews>
  <sheetFormatPr defaultColWidth="11" defaultRowHeight="15.75" x14ac:dyDescent="0.25"/>
  <cols>
    <col min="1" max="1" width="4.875" customWidth="1"/>
    <col min="2" max="2" width="2.875" customWidth="1"/>
    <col min="3" max="3" width="24.25" customWidth="1"/>
    <col min="4" max="4" width="5" style="81" customWidth="1"/>
    <col min="5" max="6" width="2.875" customWidth="1"/>
    <col min="7" max="7" width="21.5" customWidth="1"/>
    <col min="8" max="8" width="3.375" customWidth="1"/>
    <col min="9" max="10" width="2.875" customWidth="1"/>
    <col min="11" max="11" width="19.625" customWidth="1"/>
    <col min="12" max="12" width="4.875" customWidth="1"/>
    <col min="13" max="14" width="2.875" customWidth="1"/>
    <col min="15" max="15" width="27.625" customWidth="1"/>
    <col min="16" max="16" width="3" customWidth="1"/>
    <col min="17" max="18" width="2.875" customWidth="1"/>
    <col min="19" max="19" width="19" customWidth="1"/>
    <col min="20" max="20" width="3.75" customWidth="1"/>
    <col min="21" max="22" width="2.875" customWidth="1"/>
    <col min="23" max="23" width="17.75" customWidth="1"/>
    <col min="24" max="26" width="2.875" customWidth="1"/>
    <col min="27" max="27" width="25.5" customWidth="1"/>
    <col min="28" max="28" width="3.75" customWidth="1"/>
    <col min="29" max="30" width="2.875" customWidth="1"/>
    <col min="31" max="31" width="20.125" customWidth="1"/>
    <col min="32" max="34" width="2.875" customWidth="1"/>
    <col min="35" max="35" width="30.625" customWidth="1"/>
    <col min="36" max="36" width="4.25" customWidth="1"/>
    <col min="37" max="38" width="2.875" customWidth="1"/>
    <col min="39" max="39" width="23.5" customWidth="1"/>
    <col min="40" max="42" width="2.875" customWidth="1"/>
    <col min="43" max="43" width="29.75" customWidth="1"/>
    <col min="44" max="44" width="3.5" customWidth="1"/>
    <col min="45" max="46" width="2.875" customWidth="1"/>
    <col min="47" max="47" width="18.25" customWidth="1"/>
    <col min="48" max="48" width="3.75" customWidth="1"/>
    <col min="49" max="49" width="5.125" customWidth="1"/>
  </cols>
  <sheetData>
    <row r="1" spans="1:48" ht="31.5" thickBot="1" x14ac:dyDescent="0.5">
      <c r="A1" s="198" t="str">
        <f>"Årskalender for  Al Quds Skole  2024-2025"</f>
        <v>Årskalender for  Al Quds Skole  2024-2025</v>
      </c>
      <c r="B1" s="196"/>
      <c r="C1" s="194"/>
      <c r="D1" s="195"/>
      <c r="E1" s="194"/>
      <c r="F1" s="196"/>
      <c r="G1" s="194"/>
      <c r="H1" s="195"/>
      <c r="I1" s="194"/>
      <c r="J1" s="196"/>
      <c r="K1" s="194"/>
      <c r="L1" s="195"/>
      <c r="M1" s="194"/>
      <c r="N1" s="196"/>
      <c r="O1" s="194"/>
      <c r="P1" s="195"/>
      <c r="Q1" s="194"/>
      <c r="R1" s="196"/>
      <c r="S1" s="194"/>
      <c r="T1" s="195"/>
      <c r="U1" s="194"/>
      <c r="V1" s="196"/>
      <c r="W1" s="194"/>
      <c r="X1" s="195"/>
      <c r="Y1" s="194"/>
      <c r="Z1" s="196"/>
      <c r="AA1" s="194"/>
      <c r="AB1" s="195"/>
      <c r="AC1" s="194"/>
      <c r="AD1" s="196"/>
      <c r="AE1" s="194"/>
      <c r="AF1" s="195"/>
      <c r="AG1" s="194"/>
      <c r="AH1" s="196"/>
      <c r="AI1" s="194"/>
      <c r="AJ1" s="195"/>
      <c r="AK1" s="194"/>
      <c r="AL1" s="196"/>
      <c r="AM1" s="194" t="s">
        <v>265</v>
      </c>
      <c r="AN1" s="195"/>
      <c r="AO1" s="194"/>
      <c r="AP1" s="196"/>
      <c r="AQ1" s="233"/>
      <c r="AR1" s="195"/>
      <c r="AS1" s="194"/>
      <c r="AT1" s="196"/>
      <c r="AU1" s="194"/>
      <c r="AV1" s="197"/>
    </row>
    <row r="2" spans="1:48" ht="18" x14ac:dyDescent="0.25">
      <c r="A2" s="186" t="s">
        <v>46</v>
      </c>
      <c r="B2" s="187"/>
      <c r="C2" s="188"/>
      <c r="D2" s="189"/>
      <c r="E2" s="186" t="s">
        <v>47</v>
      </c>
      <c r="F2" s="187"/>
      <c r="G2" s="188"/>
      <c r="H2" s="189"/>
      <c r="I2" s="190" t="s">
        <v>48</v>
      </c>
      <c r="J2" s="187"/>
      <c r="K2" s="188"/>
      <c r="L2" s="189"/>
      <c r="M2" s="186" t="s">
        <v>49</v>
      </c>
      <c r="N2" s="187"/>
      <c r="O2" s="188"/>
      <c r="P2" s="189"/>
      <c r="Q2" s="186" t="s">
        <v>50</v>
      </c>
      <c r="R2" s="187"/>
      <c r="S2" s="188"/>
      <c r="T2" s="189"/>
      <c r="U2" s="186" t="s">
        <v>51</v>
      </c>
      <c r="V2" s="187"/>
      <c r="W2" s="188"/>
      <c r="X2" s="189"/>
      <c r="Y2" s="190" t="s">
        <v>54</v>
      </c>
      <c r="Z2" s="187"/>
      <c r="AA2" s="188"/>
      <c r="AB2" s="189"/>
      <c r="AC2" s="186" t="s">
        <v>55</v>
      </c>
      <c r="AD2" s="187"/>
      <c r="AE2" s="188"/>
      <c r="AF2" s="189"/>
      <c r="AG2" s="186" t="s">
        <v>56</v>
      </c>
      <c r="AH2" s="187"/>
      <c r="AI2" s="188"/>
      <c r="AJ2" s="189"/>
      <c r="AK2" s="186" t="s">
        <v>57</v>
      </c>
      <c r="AL2" s="187"/>
      <c r="AM2" s="188"/>
      <c r="AN2" s="189"/>
      <c r="AO2" s="186" t="s">
        <v>58</v>
      </c>
      <c r="AP2" s="187"/>
      <c r="AQ2" s="188"/>
      <c r="AR2" s="189"/>
      <c r="AS2" s="186" t="s">
        <v>59</v>
      </c>
      <c r="AT2" s="187"/>
      <c r="AU2" s="188"/>
      <c r="AV2" s="189"/>
    </row>
    <row r="3" spans="1:48" ht="26.25" x14ac:dyDescent="0.25">
      <c r="A3" s="147">
        <v>1</v>
      </c>
      <c r="B3" s="152" t="s">
        <v>94</v>
      </c>
      <c r="C3" s="153" t="s">
        <v>69</v>
      </c>
      <c r="D3" s="156"/>
      <c r="E3" s="129">
        <v>1</v>
      </c>
      <c r="F3" s="130" t="s">
        <v>97</v>
      </c>
      <c r="G3" s="131"/>
      <c r="H3" s="136" t="s">
        <v>88</v>
      </c>
      <c r="I3" s="125">
        <v>1</v>
      </c>
      <c r="J3" s="126" t="s">
        <v>95</v>
      </c>
      <c r="K3" s="221" t="s">
        <v>179</v>
      </c>
      <c r="L3" s="128" t="s">
        <v>88</v>
      </c>
      <c r="M3" s="125">
        <v>1</v>
      </c>
      <c r="N3" s="126" t="s">
        <v>96</v>
      </c>
      <c r="O3" s="178" t="s">
        <v>172</v>
      </c>
      <c r="P3" s="128" t="s">
        <v>88</v>
      </c>
      <c r="Q3" s="129">
        <v>1</v>
      </c>
      <c r="R3" s="130" t="s">
        <v>97</v>
      </c>
      <c r="S3" s="131"/>
      <c r="T3" s="132" t="s">
        <v>88</v>
      </c>
      <c r="U3" s="147">
        <v>1</v>
      </c>
      <c r="V3" s="157" t="s">
        <v>91</v>
      </c>
      <c r="W3" s="158" t="s">
        <v>87</v>
      </c>
      <c r="X3" s="159"/>
      <c r="Y3" s="129">
        <v>1</v>
      </c>
      <c r="Z3" s="130" t="s">
        <v>92</v>
      </c>
      <c r="AA3" s="131"/>
      <c r="AB3" s="136" t="s">
        <v>88</v>
      </c>
      <c r="AC3" s="129">
        <v>1</v>
      </c>
      <c r="AD3" s="130" t="s">
        <v>92</v>
      </c>
      <c r="AE3" s="219" t="s">
        <v>183</v>
      </c>
      <c r="AF3" s="132" t="s">
        <v>88</v>
      </c>
      <c r="AG3" s="125">
        <v>1</v>
      </c>
      <c r="AH3" s="126" t="s">
        <v>95</v>
      </c>
      <c r="AI3" s="226" t="s">
        <v>238</v>
      </c>
      <c r="AJ3" s="135"/>
      <c r="AK3" s="125">
        <v>1</v>
      </c>
      <c r="AL3" s="126" t="s">
        <v>94</v>
      </c>
      <c r="AM3" s="127"/>
      <c r="AN3" s="128"/>
      <c r="AO3" s="129">
        <v>1</v>
      </c>
      <c r="AP3" s="130" t="s">
        <v>97</v>
      </c>
      <c r="AQ3" s="131"/>
      <c r="AR3" s="136" t="s">
        <v>88</v>
      </c>
      <c r="AS3" s="147">
        <v>1</v>
      </c>
      <c r="AT3" s="148" t="s">
        <v>95</v>
      </c>
      <c r="AU3" s="153" t="s">
        <v>282</v>
      </c>
      <c r="AV3" s="150"/>
    </row>
    <row r="4" spans="1:48" x14ac:dyDescent="0.25">
      <c r="A4" s="147">
        <v>2</v>
      </c>
      <c r="B4" s="152" t="s">
        <v>96</v>
      </c>
      <c r="C4" s="153" t="s">
        <v>69</v>
      </c>
      <c r="D4" s="156" t="s">
        <v>88</v>
      </c>
      <c r="E4" s="125">
        <v>2</v>
      </c>
      <c r="F4" s="126" t="s">
        <v>93</v>
      </c>
      <c r="G4" s="178" t="s">
        <v>205</v>
      </c>
      <c r="H4" s="135">
        <v>36</v>
      </c>
      <c r="I4" s="125">
        <v>2</v>
      </c>
      <c r="J4" s="126" t="s">
        <v>91</v>
      </c>
      <c r="K4" s="127"/>
      <c r="L4" s="128"/>
      <c r="M4" s="129">
        <v>2</v>
      </c>
      <c r="N4" s="130" t="s">
        <v>92</v>
      </c>
      <c r="O4" s="131"/>
      <c r="P4" s="132" t="s">
        <v>88</v>
      </c>
      <c r="Q4" s="125">
        <v>2</v>
      </c>
      <c r="R4" s="126" t="s">
        <v>93</v>
      </c>
      <c r="S4" s="127" t="s">
        <v>240</v>
      </c>
      <c r="T4" s="128">
        <v>49</v>
      </c>
      <c r="U4" s="147">
        <v>2</v>
      </c>
      <c r="V4" s="148" t="s">
        <v>94</v>
      </c>
      <c r="W4" s="149" t="s">
        <v>275</v>
      </c>
      <c r="X4" s="150"/>
      <c r="Y4" s="129">
        <v>2</v>
      </c>
      <c r="Z4" s="130" t="s">
        <v>97</v>
      </c>
      <c r="AA4" s="131"/>
      <c r="AB4" s="136" t="s">
        <v>88</v>
      </c>
      <c r="AC4" s="129">
        <v>2</v>
      </c>
      <c r="AD4" s="130" t="s">
        <v>97</v>
      </c>
      <c r="AE4" s="131"/>
      <c r="AF4" s="132" t="s">
        <v>88</v>
      </c>
      <c r="AG4" s="125">
        <v>2</v>
      </c>
      <c r="AH4" s="126" t="s">
        <v>91</v>
      </c>
      <c r="AI4" s="127"/>
      <c r="AJ4" s="135" t="s">
        <v>88</v>
      </c>
      <c r="AK4" s="125">
        <v>2</v>
      </c>
      <c r="AL4" s="126" t="s">
        <v>96</v>
      </c>
      <c r="AM4" s="127" t="s">
        <v>291</v>
      </c>
      <c r="AN4" s="128" t="s">
        <v>88</v>
      </c>
      <c r="AO4" s="125">
        <v>2</v>
      </c>
      <c r="AP4" s="126" t="s">
        <v>93</v>
      </c>
      <c r="AQ4" s="127" t="s">
        <v>254</v>
      </c>
      <c r="AR4" s="135">
        <v>23</v>
      </c>
      <c r="AS4" s="147">
        <v>2</v>
      </c>
      <c r="AT4" s="148" t="s">
        <v>91</v>
      </c>
      <c r="AU4" s="153" t="s">
        <v>282</v>
      </c>
      <c r="AV4" s="150" t="s">
        <v>88</v>
      </c>
    </row>
    <row r="5" spans="1:48" ht="39" x14ac:dyDescent="0.25">
      <c r="A5" s="129">
        <v>3</v>
      </c>
      <c r="B5" s="130" t="s">
        <v>92</v>
      </c>
      <c r="C5" s="131"/>
      <c r="D5" s="144" t="s">
        <v>88</v>
      </c>
      <c r="E5" s="125">
        <v>3</v>
      </c>
      <c r="F5" s="126" t="s">
        <v>95</v>
      </c>
      <c r="G5" s="218" t="s">
        <v>239</v>
      </c>
      <c r="H5" s="135" t="s">
        <v>88</v>
      </c>
      <c r="I5" s="125">
        <v>3</v>
      </c>
      <c r="J5" s="126" t="s">
        <v>94</v>
      </c>
      <c r="K5" s="127"/>
      <c r="L5" s="128"/>
      <c r="M5" s="129">
        <v>3</v>
      </c>
      <c r="N5" s="130" t="s">
        <v>97</v>
      </c>
      <c r="O5" s="131"/>
      <c r="P5" s="132" t="s">
        <v>88</v>
      </c>
      <c r="Q5" s="125">
        <v>3</v>
      </c>
      <c r="R5" s="126" t="s">
        <v>95</v>
      </c>
      <c r="S5" s="127" t="s">
        <v>222</v>
      </c>
      <c r="T5" s="128" t="s">
        <v>88</v>
      </c>
      <c r="U5" s="147">
        <v>3</v>
      </c>
      <c r="V5" s="148" t="s">
        <v>96</v>
      </c>
      <c r="W5" s="149" t="s">
        <v>275</v>
      </c>
      <c r="X5" s="150" t="s">
        <v>88</v>
      </c>
      <c r="Y5" s="125">
        <v>3</v>
      </c>
      <c r="Z5" s="126" t="s">
        <v>93</v>
      </c>
      <c r="AA5" s="220" t="s">
        <v>207</v>
      </c>
      <c r="AB5" s="135">
        <v>6</v>
      </c>
      <c r="AC5" s="125">
        <v>3</v>
      </c>
      <c r="AD5" s="126" t="s">
        <v>93</v>
      </c>
      <c r="AE5" s="127"/>
      <c r="AF5" s="128">
        <v>10</v>
      </c>
      <c r="AG5" s="125">
        <v>3</v>
      </c>
      <c r="AH5" s="126" t="s">
        <v>94</v>
      </c>
      <c r="AI5" s="127" t="s">
        <v>229</v>
      </c>
      <c r="AJ5" s="135"/>
      <c r="AK5" s="129">
        <v>3</v>
      </c>
      <c r="AL5" s="130" t="s">
        <v>92</v>
      </c>
      <c r="AM5" s="131"/>
      <c r="AN5" s="132" t="s">
        <v>88</v>
      </c>
      <c r="AO5" s="125">
        <v>3</v>
      </c>
      <c r="AP5" s="126" t="s">
        <v>95</v>
      </c>
      <c r="AQ5" s="127"/>
      <c r="AR5" s="135"/>
      <c r="AS5" s="147">
        <v>3</v>
      </c>
      <c r="AT5" s="148" t="s">
        <v>94</v>
      </c>
      <c r="AU5" s="153" t="s">
        <v>282</v>
      </c>
      <c r="AV5" s="150"/>
    </row>
    <row r="6" spans="1:48" ht="26.25" x14ac:dyDescent="0.25">
      <c r="A6" s="129">
        <v>4</v>
      </c>
      <c r="B6" s="130" t="s">
        <v>97</v>
      </c>
      <c r="C6" s="131"/>
      <c r="D6" s="144" t="s">
        <v>88</v>
      </c>
      <c r="E6" s="125">
        <v>4</v>
      </c>
      <c r="F6" s="126" t="s">
        <v>91</v>
      </c>
      <c r="G6" s="218" t="s">
        <v>221</v>
      </c>
      <c r="H6" s="135"/>
      <c r="I6" s="125">
        <v>4</v>
      </c>
      <c r="J6" s="126" t="s">
        <v>96</v>
      </c>
      <c r="K6" s="127"/>
      <c r="L6" s="128" t="s">
        <v>88</v>
      </c>
      <c r="M6" s="125">
        <v>4</v>
      </c>
      <c r="N6" s="126" t="s">
        <v>93</v>
      </c>
      <c r="O6" s="127"/>
      <c r="P6" s="128">
        <v>45</v>
      </c>
      <c r="Q6" s="125">
        <v>4</v>
      </c>
      <c r="R6" s="126" t="s">
        <v>91</v>
      </c>
      <c r="S6" s="127"/>
      <c r="T6" s="128"/>
      <c r="U6" s="129">
        <v>4</v>
      </c>
      <c r="V6" s="130" t="s">
        <v>92</v>
      </c>
      <c r="W6" s="131"/>
      <c r="X6" s="132" t="s">
        <v>88</v>
      </c>
      <c r="Y6" s="125">
        <v>4</v>
      </c>
      <c r="Z6" s="126" t="s">
        <v>95</v>
      </c>
      <c r="AA6" s="220" t="s">
        <v>207</v>
      </c>
      <c r="AB6" s="135" t="s">
        <v>88</v>
      </c>
      <c r="AC6" s="125">
        <v>4</v>
      </c>
      <c r="AD6" s="126" t="s">
        <v>95</v>
      </c>
      <c r="AE6" s="127"/>
      <c r="AF6" s="128"/>
      <c r="AG6" s="125">
        <v>4</v>
      </c>
      <c r="AH6" s="126" t="s">
        <v>96</v>
      </c>
      <c r="AI6" s="127"/>
      <c r="AJ6" s="135" t="s">
        <v>88</v>
      </c>
      <c r="AK6" s="129">
        <v>4</v>
      </c>
      <c r="AL6" s="130" t="s">
        <v>97</v>
      </c>
      <c r="AM6" s="131"/>
      <c r="AN6" s="132" t="s">
        <v>88</v>
      </c>
      <c r="AO6" s="125">
        <v>4</v>
      </c>
      <c r="AP6" s="126" t="s">
        <v>91</v>
      </c>
      <c r="AQ6" s="127"/>
      <c r="AR6" s="135" t="s">
        <v>88</v>
      </c>
      <c r="AS6" s="147">
        <v>4</v>
      </c>
      <c r="AT6" s="148" t="s">
        <v>96</v>
      </c>
      <c r="AU6" s="153" t="s">
        <v>282</v>
      </c>
      <c r="AV6" s="150" t="s">
        <v>88</v>
      </c>
    </row>
    <row r="7" spans="1:48" ht="51.75" x14ac:dyDescent="0.25">
      <c r="A7" s="147">
        <v>5</v>
      </c>
      <c r="B7" s="215" t="s">
        <v>93</v>
      </c>
      <c r="C7" s="216" t="s">
        <v>160</v>
      </c>
      <c r="D7" s="217">
        <v>32</v>
      </c>
      <c r="E7" s="125">
        <v>5</v>
      </c>
      <c r="F7" s="126" t="s">
        <v>94</v>
      </c>
      <c r="G7" s="178" t="s">
        <v>206</v>
      </c>
      <c r="H7" s="135"/>
      <c r="I7" s="129">
        <v>5</v>
      </c>
      <c r="J7" s="130" t="s">
        <v>92</v>
      </c>
      <c r="K7" s="131" t="s">
        <v>171</v>
      </c>
      <c r="L7" s="132" t="s">
        <v>88</v>
      </c>
      <c r="M7" s="125">
        <v>5</v>
      </c>
      <c r="N7" s="126" t="s">
        <v>95</v>
      </c>
      <c r="O7" s="226" t="s">
        <v>287</v>
      </c>
      <c r="P7" s="128" t="s">
        <v>88</v>
      </c>
      <c r="Q7" s="125">
        <v>5</v>
      </c>
      <c r="R7" s="126" t="s">
        <v>94</v>
      </c>
      <c r="S7" s="127"/>
      <c r="T7" s="128"/>
      <c r="U7" s="129">
        <v>5</v>
      </c>
      <c r="V7" s="130" t="s">
        <v>97</v>
      </c>
      <c r="W7" s="131"/>
      <c r="X7" s="132" t="s">
        <v>88</v>
      </c>
      <c r="Y7" s="125">
        <v>5</v>
      </c>
      <c r="Z7" s="126" t="s">
        <v>91</v>
      </c>
      <c r="AA7" s="220" t="s">
        <v>189</v>
      </c>
      <c r="AB7" s="135"/>
      <c r="AC7" s="125">
        <v>5</v>
      </c>
      <c r="AD7" s="126" t="s">
        <v>91</v>
      </c>
      <c r="AE7" s="127"/>
      <c r="AF7" s="128" t="s">
        <v>88</v>
      </c>
      <c r="AG7" s="129">
        <v>5</v>
      </c>
      <c r="AH7" s="130" t="s">
        <v>92</v>
      </c>
      <c r="AI7" s="131"/>
      <c r="AJ7" s="136" t="s">
        <v>88</v>
      </c>
      <c r="AK7" s="125">
        <v>5</v>
      </c>
      <c r="AL7" s="126" t="s">
        <v>93</v>
      </c>
      <c r="AM7" s="226" t="s">
        <v>290</v>
      </c>
      <c r="AN7" s="128">
        <v>19</v>
      </c>
      <c r="AO7" s="125">
        <v>5</v>
      </c>
      <c r="AP7" s="126" t="s">
        <v>94</v>
      </c>
      <c r="AQ7" s="149" t="s">
        <v>280</v>
      </c>
      <c r="AR7" s="135"/>
      <c r="AS7" s="129">
        <v>5</v>
      </c>
      <c r="AT7" s="130" t="s">
        <v>92</v>
      </c>
      <c r="AU7" s="131"/>
      <c r="AV7" s="132" t="s">
        <v>88</v>
      </c>
    </row>
    <row r="8" spans="1:48" x14ac:dyDescent="0.25">
      <c r="A8" s="147">
        <v>6</v>
      </c>
      <c r="B8" s="215" t="s">
        <v>95</v>
      </c>
      <c r="C8" s="216" t="s">
        <v>160</v>
      </c>
      <c r="D8" s="217" t="s">
        <v>88</v>
      </c>
      <c r="E8" s="125">
        <v>6</v>
      </c>
      <c r="F8" s="126" t="s">
        <v>96</v>
      </c>
      <c r="G8" s="178" t="s">
        <v>206</v>
      </c>
      <c r="H8" s="135" t="s">
        <v>88</v>
      </c>
      <c r="I8" s="129">
        <v>6</v>
      </c>
      <c r="J8" s="130" t="s">
        <v>97</v>
      </c>
      <c r="K8" s="131"/>
      <c r="L8" s="132" t="s">
        <v>88</v>
      </c>
      <c r="M8" s="125">
        <v>6</v>
      </c>
      <c r="N8" s="126" t="s">
        <v>91</v>
      </c>
      <c r="O8" s="127"/>
      <c r="P8" s="128"/>
      <c r="Q8" s="125">
        <v>6</v>
      </c>
      <c r="R8" s="126" t="s">
        <v>96</v>
      </c>
      <c r="S8" s="127"/>
      <c r="T8" s="128" t="s">
        <v>88</v>
      </c>
      <c r="U8" s="125">
        <v>6</v>
      </c>
      <c r="V8" s="126" t="s">
        <v>93</v>
      </c>
      <c r="W8" s="178" t="s">
        <v>200</v>
      </c>
      <c r="X8" s="128">
        <v>2</v>
      </c>
      <c r="Y8" s="125">
        <v>6</v>
      </c>
      <c r="Z8" s="126" t="s">
        <v>94</v>
      </c>
      <c r="AA8" s="220" t="s">
        <v>207</v>
      </c>
      <c r="AB8" s="135"/>
      <c r="AC8" s="125">
        <v>6</v>
      </c>
      <c r="AD8" s="126" t="s">
        <v>94</v>
      </c>
      <c r="AE8" s="127"/>
      <c r="AF8" s="128"/>
      <c r="AG8" s="129">
        <v>6</v>
      </c>
      <c r="AH8" s="130" t="s">
        <v>97</v>
      </c>
      <c r="AI8" s="131"/>
      <c r="AJ8" s="136" t="s">
        <v>88</v>
      </c>
      <c r="AK8" s="125">
        <v>6</v>
      </c>
      <c r="AL8" s="126" t="s">
        <v>95</v>
      </c>
      <c r="AM8" s="127" t="s">
        <v>292</v>
      </c>
      <c r="AN8" s="128"/>
      <c r="AO8" s="125">
        <v>6</v>
      </c>
      <c r="AP8" s="126" t="s">
        <v>96</v>
      </c>
      <c r="AQ8" s="149" t="s">
        <v>281</v>
      </c>
      <c r="AR8" s="135" t="s">
        <v>88</v>
      </c>
      <c r="AS8" s="129">
        <v>6</v>
      </c>
      <c r="AT8" s="130" t="s">
        <v>97</v>
      </c>
      <c r="AU8" s="131"/>
      <c r="AV8" s="132" t="s">
        <v>88</v>
      </c>
    </row>
    <row r="9" spans="1:48" ht="26.25" x14ac:dyDescent="0.25">
      <c r="A9" s="147">
        <v>7</v>
      </c>
      <c r="B9" s="215" t="s">
        <v>91</v>
      </c>
      <c r="C9" s="216" t="s">
        <v>160</v>
      </c>
      <c r="D9" s="217"/>
      <c r="E9" s="129">
        <v>7</v>
      </c>
      <c r="F9" s="130" t="s">
        <v>92</v>
      </c>
      <c r="G9" s="131"/>
      <c r="H9" s="136" t="s">
        <v>88</v>
      </c>
      <c r="I9" s="125">
        <v>7</v>
      </c>
      <c r="J9" s="126" t="s">
        <v>93</v>
      </c>
      <c r="K9" s="127"/>
      <c r="L9" s="128">
        <v>41</v>
      </c>
      <c r="M9" s="125">
        <v>7</v>
      </c>
      <c r="N9" s="126" t="s">
        <v>94</v>
      </c>
      <c r="O9" s="127"/>
      <c r="P9" s="128"/>
      <c r="Q9" s="129">
        <v>7</v>
      </c>
      <c r="R9" s="130" t="s">
        <v>92</v>
      </c>
      <c r="S9" s="131"/>
      <c r="T9" s="132" t="s">
        <v>88</v>
      </c>
      <c r="U9" s="125">
        <v>7</v>
      </c>
      <c r="V9" s="126" t="s">
        <v>95</v>
      </c>
      <c r="W9" s="178" t="s">
        <v>200</v>
      </c>
      <c r="X9" s="128" t="s">
        <v>88</v>
      </c>
      <c r="Y9" s="125">
        <v>7</v>
      </c>
      <c r="Z9" s="126" t="s">
        <v>96</v>
      </c>
      <c r="AA9" s="220" t="s">
        <v>207</v>
      </c>
      <c r="AB9" s="135" t="s">
        <v>88</v>
      </c>
      <c r="AC9" s="125">
        <v>7</v>
      </c>
      <c r="AD9" s="126" t="s">
        <v>96</v>
      </c>
      <c r="AE9" s="127"/>
      <c r="AF9" s="128" t="s">
        <v>88</v>
      </c>
      <c r="AG9" s="125">
        <v>7</v>
      </c>
      <c r="AH9" s="126" t="s">
        <v>93</v>
      </c>
      <c r="AI9" s="127" t="s">
        <v>256</v>
      </c>
      <c r="AJ9" s="135">
        <v>15</v>
      </c>
      <c r="AK9" s="125">
        <v>7</v>
      </c>
      <c r="AL9" s="126" t="s">
        <v>91</v>
      </c>
      <c r="AM9" s="226" t="s">
        <v>298</v>
      </c>
      <c r="AN9" s="128" t="s">
        <v>88</v>
      </c>
      <c r="AO9" s="129">
        <v>7</v>
      </c>
      <c r="AP9" s="130" t="s">
        <v>92</v>
      </c>
      <c r="AQ9" s="131" t="s">
        <v>173</v>
      </c>
      <c r="AR9" s="136" t="s">
        <v>88</v>
      </c>
      <c r="AS9" s="147">
        <v>7</v>
      </c>
      <c r="AT9" s="152" t="s">
        <v>93</v>
      </c>
      <c r="AU9" s="153" t="s">
        <v>69</v>
      </c>
      <c r="AV9" s="154">
        <v>28</v>
      </c>
    </row>
    <row r="10" spans="1:48" ht="26.25" x14ac:dyDescent="0.25">
      <c r="A10" s="125">
        <v>8</v>
      </c>
      <c r="B10" s="126" t="s">
        <v>94</v>
      </c>
      <c r="C10" s="127" t="s">
        <v>232</v>
      </c>
      <c r="D10" s="138"/>
      <c r="E10" s="129">
        <v>8</v>
      </c>
      <c r="F10" s="130" t="s">
        <v>97</v>
      </c>
      <c r="G10" s="131"/>
      <c r="H10" s="136" t="s">
        <v>88</v>
      </c>
      <c r="I10" s="125">
        <v>8</v>
      </c>
      <c r="J10" s="126" t="s">
        <v>95</v>
      </c>
      <c r="K10" s="226" t="s">
        <v>235</v>
      </c>
      <c r="L10" s="128" t="s">
        <v>88</v>
      </c>
      <c r="M10" s="125">
        <v>8</v>
      </c>
      <c r="N10" s="126" t="s">
        <v>96</v>
      </c>
      <c r="O10" s="127"/>
      <c r="P10" s="128" t="s">
        <v>88</v>
      </c>
      <c r="Q10" s="129">
        <v>8</v>
      </c>
      <c r="R10" s="130" t="s">
        <v>97</v>
      </c>
      <c r="S10" s="131"/>
      <c r="T10" s="132" t="s">
        <v>88</v>
      </c>
      <c r="U10" s="125">
        <v>8</v>
      </c>
      <c r="V10" s="126" t="s">
        <v>91</v>
      </c>
      <c r="W10" s="127" t="s">
        <v>201</v>
      </c>
      <c r="X10" s="128"/>
      <c r="Y10" s="129">
        <v>8</v>
      </c>
      <c r="Z10" s="130" t="s">
        <v>92</v>
      </c>
      <c r="AA10" s="131"/>
      <c r="AB10" s="136" t="s">
        <v>88</v>
      </c>
      <c r="AC10" s="129">
        <v>8</v>
      </c>
      <c r="AD10" s="130" t="s">
        <v>92</v>
      </c>
      <c r="AE10" s="131"/>
      <c r="AF10" s="132" t="s">
        <v>88</v>
      </c>
      <c r="AG10" s="125">
        <v>8</v>
      </c>
      <c r="AH10" s="126" t="s">
        <v>95</v>
      </c>
      <c r="AI10" s="127" t="s">
        <v>252</v>
      </c>
      <c r="AJ10" s="135"/>
      <c r="AK10" s="125">
        <v>8</v>
      </c>
      <c r="AL10" s="126" t="s">
        <v>94</v>
      </c>
      <c r="AM10" s="127" t="s">
        <v>294</v>
      </c>
      <c r="AN10" s="128"/>
      <c r="AO10" s="129">
        <v>8</v>
      </c>
      <c r="AP10" s="130" t="s">
        <v>97</v>
      </c>
      <c r="AQ10" s="131" t="s">
        <v>106</v>
      </c>
      <c r="AR10" s="136" t="s">
        <v>88</v>
      </c>
      <c r="AS10" s="147">
        <v>8</v>
      </c>
      <c r="AT10" s="152" t="s">
        <v>95</v>
      </c>
      <c r="AU10" s="153" t="s">
        <v>69</v>
      </c>
      <c r="AV10" s="154"/>
    </row>
    <row r="11" spans="1:48" x14ac:dyDescent="0.25">
      <c r="A11" s="125">
        <v>9</v>
      </c>
      <c r="B11" s="126" t="s">
        <v>96</v>
      </c>
      <c r="C11" s="127" t="s">
        <v>233</v>
      </c>
      <c r="D11" s="138" t="s">
        <v>88</v>
      </c>
      <c r="E11" s="125">
        <v>9</v>
      </c>
      <c r="F11" s="126" t="s">
        <v>93</v>
      </c>
      <c r="G11" s="127"/>
      <c r="H11" s="135">
        <v>37</v>
      </c>
      <c r="I11" s="125">
        <v>9</v>
      </c>
      <c r="J11" s="126" t="s">
        <v>91</v>
      </c>
      <c r="K11" s="127"/>
      <c r="L11" s="128"/>
      <c r="M11" s="129">
        <v>9</v>
      </c>
      <c r="N11" s="130" t="s">
        <v>92</v>
      </c>
      <c r="O11" s="131"/>
      <c r="P11" s="132" t="s">
        <v>88</v>
      </c>
      <c r="Q11" s="125">
        <v>9</v>
      </c>
      <c r="R11" s="126" t="s">
        <v>93</v>
      </c>
      <c r="S11" s="127"/>
      <c r="T11" s="128">
        <v>50</v>
      </c>
      <c r="U11" s="125">
        <v>9</v>
      </c>
      <c r="V11" s="126" t="s">
        <v>94</v>
      </c>
      <c r="W11" s="178" t="s">
        <v>200</v>
      </c>
      <c r="X11" s="128"/>
      <c r="Y11" s="129">
        <v>9</v>
      </c>
      <c r="Z11" s="130" t="s">
        <v>97</v>
      </c>
      <c r="AA11" s="131"/>
      <c r="AB11" s="136" t="s">
        <v>88</v>
      </c>
      <c r="AC11" s="129">
        <v>9</v>
      </c>
      <c r="AD11" s="130" t="s">
        <v>97</v>
      </c>
      <c r="AE11" s="131"/>
      <c r="AF11" s="132" t="s">
        <v>88</v>
      </c>
      <c r="AG11" s="125">
        <v>9</v>
      </c>
      <c r="AH11" s="126" t="s">
        <v>91</v>
      </c>
      <c r="AI11" s="219" t="s">
        <v>279</v>
      </c>
      <c r="AJ11" s="135"/>
      <c r="AK11" s="125">
        <v>9</v>
      </c>
      <c r="AL11" s="126" t="s">
        <v>96</v>
      </c>
      <c r="AM11" s="145"/>
      <c r="AN11" s="128" t="s">
        <v>88</v>
      </c>
      <c r="AO11" s="147">
        <v>9</v>
      </c>
      <c r="AP11" s="157" t="s">
        <v>93</v>
      </c>
      <c r="AQ11" s="158" t="s">
        <v>103</v>
      </c>
      <c r="AR11" s="160">
        <v>24</v>
      </c>
      <c r="AS11" s="147">
        <v>9</v>
      </c>
      <c r="AT11" s="152" t="s">
        <v>91</v>
      </c>
      <c r="AU11" s="153" t="s">
        <v>69</v>
      </c>
      <c r="AV11" s="154" t="s">
        <v>88</v>
      </c>
    </row>
    <row r="12" spans="1:48" ht="26.25" x14ac:dyDescent="0.25">
      <c r="A12" s="129">
        <v>10</v>
      </c>
      <c r="B12" s="130" t="s">
        <v>92</v>
      </c>
      <c r="C12" s="131"/>
      <c r="D12" s="144" t="s">
        <v>88</v>
      </c>
      <c r="E12" s="125">
        <v>10</v>
      </c>
      <c r="F12" s="126" t="s">
        <v>95</v>
      </c>
      <c r="G12" s="127"/>
      <c r="H12" s="135" t="s">
        <v>88</v>
      </c>
      <c r="I12" s="125">
        <v>10</v>
      </c>
      <c r="J12" s="126" t="s">
        <v>94</v>
      </c>
      <c r="K12" s="127"/>
      <c r="L12" s="128"/>
      <c r="M12" s="129">
        <v>10</v>
      </c>
      <c r="N12" s="130" t="s">
        <v>97</v>
      </c>
      <c r="O12" s="131"/>
      <c r="P12" s="132" t="s">
        <v>88</v>
      </c>
      <c r="Q12" s="125">
        <v>10</v>
      </c>
      <c r="R12" s="126" t="s">
        <v>95</v>
      </c>
      <c r="S12" s="127" t="s">
        <v>245</v>
      </c>
      <c r="T12" s="128" t="s">
        <v>88</v>
      </c>
      <c r="U12" s="125">
        <v>10</v>
      </c>
      <c r="V12" s="126" t="s">
        <v>96</v>
      </c>
      <c r="W12" s="178" t="s">
        <v>200</v>
      </c>
      <c r="X12" s="128" t="s">
        <v>88</v>
      </c>
      <c r="Y12" s="147">
        <v>10</v>
      </c>
      <c r="Z12" s="148" t="s">
        <v>93</v>
      </c>
      <c r="AA12" s="218" t="s">
        <v>231</v>
      </c>
      <c r="AB12" s="151">
        <v>7</v>
      </c>
      <c r="AC12" s="125">
        <v>10</v>
      </c>
      <c r="AD12" s="126" t="s">
        <v>93</v>
      </c>
      <c r="AE12" s="127"/>
      <c r="AF12" s="128">
        <v>11</v>
      </c>
      <c r="AG12" s="125">
        <v>10</v>
      </c>
      <c r="AH12" s="126" t="s">
        <v>94</v>
      </c>
      <c r="AI12" s="127"/>
      <c r="AJ12" s="135"/>
      <c r="AK12" s="129">
        <v>10</v>
      </c>
      <c r="AL12" s="130" t="s">
        <v>92</v>
      </c>
      <c r="AM12" s="131"/>
      <c r="AN12" s="132" t="s">
        <v>88</v>
      </c>
      <c r="AO12" s="125">
        <v>10</v>
      </c>
      <c r="AP12" s="126" t="s">
        <v>95</v>
      </c>
      <c r="AQ12" s="127"/>
      <c r="AR12" s="135"/>
      <c r="AS12" s="147">
        <v>10</v>
      </c>
      <c r="AT12" s="152" t="s">
        <v>94</v>
      </c>
      <c r="AU12" s="153" t="s">
        <v>69</v>
      </c>
      <c r="AV12" s="154"/>
    </row>
    <row r="13" spans="1:48" ht="26.25" x14ac:dyDescent="0.25">
      <c r="A13" s="129">
        <v>11</v>
      </c>
      <c r="B13" s="130" t="s">
        <v>97</v>
      </c>
      <c r="C13" s="131"/>
      <c r="D13" s="144" t="s">
        <v>88</v>
      </c>
      <c r="E13" s="125">
        <v>11</v>
      </c>
      <c r="F13" s="126" t="s">
        <v>91</v>
      </c>
      <c r="G13" s="127"/>
      <c r="H13" s="135"/>
      <c r="I13" s="125">
        <v>11</v>
      </c>
      <c r="J13" s="126" t="s">
        <v>96</v>
      </c>
      <c r="K13" s="218" t="s">
        <v>215</v>
      </c>
      <c r="L13" s="128" t="s">
        <v>88</v>
      </c>
      <c r="M13" s="125">
        <v>11</v>
      </c>
      <c r="N13" s="126" t="s">
        <v>93</v>
      </c>
      <c r="O13" s="127" t="s">
        <v>224</v>
      </c>
      <c r="P13" s="128">
        <v>46</v>
      </c>
      <c r="Q13" s="125">
        <v>11</v>
      </c>
      <c r="R13" s="126" t="s">
        <v>91</v>
      </c>
      <c r="S13" s="127"/>
      <c r="T13" s="128"/>
      <c r="U13" s="129">
        <v>11</v>
      </c>
      <c r="V13" s="130" t="s">
        <v>92</v>
      </c>
      <c r="W13" s="131"/>
      <c r="X13" s="132" t="s">
        <v>88</v>
      </c>
      <c r="Y13" s="147">
        <v>11</v>
      </c>
      <c r="Z13" s="148" t="s">
        <v>95</v>
      </c>
      <c r="AA13" s="218" t="s">
        <v>231</v>
      </c>
      <c r="AB13" s="151" t="s">
        <v>88</v>
      </c>
      <c r="AC13" s="125">
        <v>11</v>
      </c>
      <c r="AD13" s="126" t="s">
        <v>95</v>
      </c>
      <c r="AE13" s="127"/>
      <c r="AF13" s="128"/>
      <c r="AG13" s="125">
        <v>11</v>
      </c>
      <c r="AH13" s="126" t="s">
        <v>96</v>
      </c>
      <c r="AI13" s="127"/>
      <c r="AJ13" s="135" t="s">
        <v>88</v>
      </c>
      <c r="AK13" s="129">
        <v>11</v>
      </c>
      <c r="AL13" s="130" t="s">
        <v>97</v>
      </c>
      <c r="AM13" s="131"/>
      <c r="AN13" s="132" t="s">
        <v>88</v>
      </c>
      <c r="AO13" s="125">
        <v>11</v>
      </c>
      <c r="AP13" s="126" t="s">
        <v>91</v>
      </c>
      <c r="AQ13" s="127"/>
      <c r="AR13" s="135" t="s">
        <v>88</v>
      </c>
      <c r="AS13" s="147">
        <v>11</v>
      </c>
      <c r="AT13" s="152" t="s">
        <v>96</v>
      </c>
      <c r="AU13" s="153" t="s">
        <v>69</v>
      </c>
      <c r="AV13" s="154" t="s">
        <v>88</v>
      </c>
    </row>
    <row r="14" spans="1:48" ht="26.25" x14ac:dyDescent="0.25">
      <c r="A14" s="125">
        <v>12</v>
      </c>
      <c r="B14" s="126" t="s">
        <v>93</v>
      </c>
      <c r="C14" s="127"/>
      <c r="D14" s="140">
        <v>33</v>
      </c>
      <c r="E14" s="125">
        <v>12</v>
      </c>
      <c r="F14" s="126" t="s">
        <v>94</v>
      </c>
      <c r="G14" s="127"/>
      <c r="H14" s="135"/>
      <c r="I14" s="129">
        <v>12</v>
      </c>
      <c r="J14" s="130" t="s">
        <v>92</v>
      </c>
      <c r="K14" s="131"/>
      <c r="L14" s="132" t="s">
        <v>88</v>
      </c>
      <c r="M14" s="125">
        <v>12</v>
      </c>
      <c r="N14" s="126" t="s">
        <v>95</v>
      </c>
      <c r="O14" s="127"/>
      <c r="P14" s="128" t="s">
        <v>88</v>
      </c>
      <c r="Q14" s="125">
        <v>12</v>
      </c>
      <c r="R14" s="126" t="s">
        <v>94</v>
      </c>
      <c r="S14" s="127"/>
      <c r="T14" s="128"/>
      <c r="U14" s="129">
        <v>12</v>
      </c>
      <c r="V14" s="130" t="s">
        <v>97</v>
      </c>
      <c r="W14" s="131"/>
      <c r="X14" s="132" t="s">
        <v>88</v>
      </c>
      <c r="Y14" s="147">
        <v>12</v>
      </c>
      <c r="Z14" s="148" t="s">
        <v>91</v>
      </c>
      <c r="AA14" s="218" t="s">
        <v>231</v>
      </c>
      <c r="AB14" s="151"/>
      <c r="AC14" s="125">
        <v>12</v>
      </c>
      <c r="AD14" s="126" t="s">
        <v>91</v>
      </c>
      <c r="AE14" s="127"/>
      <c r="AF14" s="128" t="s">
        <v>88</v>
      </c>
      <c r="AG14" s="129">
        <v>12</v>
      </c>
      <c r="AH14" s="130" t="s">
        <v>92</v>
      </c>
      <c r="AI14" s="131"/>
      <c r="AJ14" s="136" t="s">
        <v>88</v>
      </c>
      <c r="AK14" s="125">
        <v>12</v>
      </c>
      <c r="AL14" s="126" t="s">
        <v>93</v>
      </c>
      <c r="AM14" s="127"/>
      <c r="AN14" s="128">
        <v>20</v>
      </c>
      <c r="AO14" s="125">
        <v>12</v>
      </c>
      <c r="AP14" s="126" t="s">
        <v>94</v>
      </c>
      <c r="AQ14" s="127"/>
      <c r="AR14" s="135"/>
      <c r="AS14" s="129">
        <v>12</v>
      </c>
      <c r="AT14" s="130" t="s">
        <v>92</v>
      </c>
      <c r="AU14" s="131"/>
      <c r="AV14" s="132" t="s">
        <v>88</v>
      </c>
    </row>
    <row r="15" spans="1:48" ht="26.25" x14ac:dyDescent="0.25">
      <c r="A15" s="125">
        <v>13</v>
      </c>
      <c r="B15" s="126" t="s">
        <v>95</v>
      </c>
      <c r="C15" s="127" t="s">
        <v>234</v>
      </c>
      <c r="D15" s="140" t="s">
        <v>88</v>
      </c>
      <c r="E15" s="125">
        <v>13</v>
      </c>
      <c r="F15" s="126" t="s">
        <v>96</v>
      </c>
      <c r="G15" s="127"/>
      <c r="H15" s="135" t="s">
        <v>88</v>
      </c>
      <c r="I15" s="129">
        <v>13</v>
      </c>
      <c r="J15" s="130" t="s">
        <v>97</v>
      </c>
      <c r="K15" s="131"/>
      <c r="L15" s="132" t="s">
        <v>88</v>
      </c>
      <c r="M15" s="125">
        <v>13</v>
      </c>
      <c r="N15" s="126" t="s">
        <v>91</v>
      </c>
      <c r="O15" s="127"/>
      <c r="P15" s="128"/>
      <c r="Q15" s="125">
        <v>13</v>
      </c>
      <c r="R15" s="126" t="s">
        <v>96</v>
      </c>
      <c r="S15" s="127"/>
      <c r="T15" s="128" t="s">
        <v>88</v>
      </c>
      <c r="U15" s="125">
        <v>13</v>
      </c>
      <c r="V15" s="126" t="s">
        <v>93</v>
      </c>
      <c r="W15" s="178" t="s">
        <v>200</v>
      </c>
      <c r="X15" s="128">
        <v>3</v>
      </c>
      <c r="Y15" s="147">
        <v>13</v>
      </c>
      <c r="Z15" s="148" t="s">
        <v>94</v>
      </c>
      <c r="AA15" s="218" t="s">
        <v>231</v>
      </c>
      <c r="AB15" s="151"/>
      <c r="AC15" s="125">
        <v>13</v>
      </c>
      <c r="AD15" s="126" t="s">
        <v>94</v>
      </c>
      <c r="AE15" s="127"/>
      <c r="AF15" s="128"/>
      <c r="AG15" s="129">
        <v>13</v>
      </c>
      <c r="AH15" s="130" t="s">
        <v>97</v>
      </c>
      <c r="AI15" s="131" t="s">
        <v>105</v>
      </c>
      <c r="AJ15" s="136" t="s">
        <v>88</v>
      </c>
      <c r="AK15" s="125">
        <v>13</v>
      </c>
      <c r="AL15" s="126" t="s">
        <v>95</v>
      </c>
      <c r="AM15" s="127" t="s">
        <v>236</v>
      </c>
      <c r="AN15" s="128"/>
      <c r="AO15" s="125">
        <v>13</v>
      </c>
      <c r="AP15" s="126" t="s">
        <v>96</v>
      </c>
      <c r="AQ15" s="219" t="s">
        <v>178</v>
      </c>
      <c r="AR15" s="135" t="s">
        <v>88</v>
      </c>
      <c r="AS15" s="129">
        <v>13</v>
      </c>
      <c r="AT15" s="130" t="s">
        <v>97</v>
      </c>
      <c r="AU15" s="131"/>
      <c r="AV15" s="132" t="s">
        <v>88</v>
      </c>
    </row>
    <row r="16" spans="1:48" ht="26.25" x14ac:dyDescent="0.25">
      <c r="A16" s="125">
        <v>14</v>
      </c>
      <c r="B16" s="126" t="s">
        <v>91</v>
      </c>
      <c r="C16" s="127" t="s">
        <v>217</v>
      </c>
      <c r="D16" s="140"/>
      <c r="E16" s="129">
        <v>14</v>
      </c>
      <c r="F16" s="130" t="s">
        <v>92</v>
      </c>
      <c r="G16" s="131"/>
      <c r="H16" s="136" t="s">
        <v>88</v>
      </c>
      <c r="I16" s="147">
        <v>14</v>
      </c>
      <c r="J16" s="152" t="s">
        <v>93</v>
      </c>
      <c r="K16" s="153" t="s">
        <v>85</v>
      </c>
      <c r="L16" s="154">
        <v>42</v>
      </c>
      <c r="M16" s="125">
        <v>14</v>
      </c>
      <c r="N16" s="126" t="s">
        <v>94</v>
      </c>
      <c r="O16" s="127"/>
      <c r="P16" s="128"/>
      <c r="Q16" s="129">
        <v>14</v>
      </c>
      <c r="R16" s="130" t="s">
        <v>92</v>
      </c>
      <c r="S16" s="131"/>
      <c r="T16" s="132" t="s">
        <v>88</v>
      </c>
      <c r="U16" s="125">
        <v>14</v>
      </c>
      <c r="V16" s="126" t="s">
        <v>95</v>
      </c>
      <c r="W16" s="178" t="s">
        <v>200</v>
      </c>
      <c r="X16" s="128" t="s">
        <v>88</v>
      </c>
      <c r="Y16" s="147">
        <v>14</v>
      </c>
      <c r="Z16" s="148" t="s">
        <v>96</v>
      </c>
      <c r="AA16" s="218" t="s">
        <v>231</v>
      </c>
      <c r="AB16" s="151" t="s">
        <v>88</v>
      </c>
      <c r="AC16" s="125">
        <v>14</v>
      </c>
      <c r="AD16" s="126" t="s">
        <v>96</v>
      </c>
      <c r="AE16" s="127"/>
      <c r="AF16" s="128" t="s">
        <v>88</v>
      </c>
      <c r="AG16" s="147">
        <v>14</v>
      </c>
      <c r="AH16" s="148" t="s">
        <v>93</v>
      </c>
      <c r="AI16" s="149" t="s">
        <v>278</v>
      </c>
      <c r="AJ16" s="151">
        <v>16</v>
      </c>
      <c r="AK16" s="125">
        <v>14</v>
      </c>
      <c r="AL16" s="126" t="s">
        <v>91</v>
      </c>
      <c r="AM16" s="127"/>
      <c r="AN16" s="128" t="s">
        <v>88</v>
      </c>
      <c r="AO16" s="129">
        <v>14</v>
      </c>
      <c r="AP16" s="130" t="s">
        <v>92</v>
      </c>
      <c r="AQ16" s="131"/>
      <c r="AR16" s="136" t="s">
        <v>88</v>
      </c>
      <c r="AS16" s="147">
        <v>14</v>
      </c>
      <c r="AT16" s="152" t="s">
        <v>93</v>
      </c>
      <c r="AU16" s="153" t="s">
        <v>69</v>
      </c>
      <c r="AV16" s="154">
        <v>29</v>
      </c>
    </row>
    <row r="17" spans="1:49" x14ac:dyDescent="0.25">
      <c r="A17" s="125">
        <v>15</v>
      </c>
      <c r="B17" s="126" t="s">
        <v>94</v>
      </c>
      <c r="C17" s="127"/>
      <c r="D17" s="138"/>
      <c r="E17" s="129">
        <v>15</v>
      </c>
      <c r="F17" s="130" t="s">
        <v>97</v>
      </c>
      <c r="G17" s="131"/>
      <c r="H17" s="136" t="s">
        <v>88</v>
      </c>
      <c r="I17" s="147">
        <v>15</v>
      </c>
      <c r="J17" s="152" t="s">
        <v>95</v>
      </c>
      <c r="K17" s="153" t="s">
        <v>85</v>
      </c>
      <c r="L17" s="154" t="s">
        <v>88</v>
      </c>
      <c r="M17" s="125">
        <v>15</v>
      </c>
      <c r="N17" s="126" t="s">
        <v>96</v>
      </c>
      <c r="O17" s="127"/>
      <c r="P17" s="128" t="s">
        <v>88</v>
      </c>
      <c r="Q17" s="129">
        <v>15</v>
      </c>
      <c r="R17" s="130" t="s">
        <v>97</v>
      </c>
      <c r="S17" s="131"/>
      <c r="T17" s="132" t="s">
        <v>88</v>
      </c>
      <c r="U17" s="125">
        <v>15</v>
      </c>
      <c r="V17" s="126" t="s">
        <v>91</v>
      </c>
      <c r="W17" s="127" t="s">
        <v>202</v>
      </c>
      <c r="X17" s="128"/>
      <c r="Y17" s="129">
        <v>15</v>
      </c>
      <c r="Z17" s="130" t="s">
        <v>92</v>
      </c>
      <c r="AA17" s="131"/>
      <c r="AB17" s="136" t="s">
        <v>88</v>
      </c>
      <c r="AC17" s="129">
        <v>15</v>
      </c>
      <c r="AD17" s="130" t="s">
        <v>92</v>
      </c>
      <c r="AE17" s="131"/>
      <c r="AF17" s="132" t="s">
        <v>88</v>
      </c>
      <c r="AG17" s="147">
        <v>15</v>
      </c>
      <c r="AH17" s="148" t="s">
        <v>95</v>
      </c>
      <c r="AI17" s="149" t="s">
        <v>278</v>
      </c>
      <c r="AJ17" s="151"/>
      <c r="AK17" s="125">
        <v>15</v>
      </c>
      <c r="AL17" s="126" t="s">
        <v>94</v>
      </c>
      <c r="AM17" s="127"/>
      <c r="AN17" s="128"/>
      <c r="AO17" s="129">
        <v>15</v>
      </c>
      <c r="AP17" s="130" t="s">
        <v>97</v>
      </c>
      <c r="AQ17" s="131"/>
      <c r="AR17" s="136" t="s">
        <v>88</v>
      </c>
      <c r="AS17" s="147">
        <v>15</v>
      </c>
      <c r="AT17" s="152" t="s">
        <v>95</v>
      </c>
      <c r="AU17" s="153" t="s">
        <v>69</v>
      </c>
      <c r="AV17" s="154"/>
    </row>
    <row r="18" spans="1:49" x14ac:dyDescent="0.25">
      <c r="A18" s="125">
        <v>16</v>
      </c>
      <c r="B18" s="126" t="s">
        <v>96</v>
      </c>
      <c r="C18" s="127"/>
      <c r="D18" s="138" t="s">
        <v>88</v>
      </c>
      <c r="E18" s="125">
        <v>16</v>
      </c>
      <c r="F18" s="126" t="s">
        <v>93</v>
      </c>
      <c r="G18" s="178" t="s">
        <v>182</v>
      </c>
      <c r="H18" s="135">
        <v>38</v>
      </c>
      <c r="I18" s="147">
        <v>16</v>
      </c>
      <c r="J18" s="152" t="s">
        <v>91</v>
      </c>
      <c r="K18" s="153" t="s">
        <v>85</v>
      </c>
      <c r="L18" s="154"/>
      <c r="M18" s="129">
        <v>16</v>
      </c>
      <c r="N18" s="130" t="s">
        <v>92</v>
      </c>
      <c r="O18" s="131"/>
      <c r="P18" s="132" t="s">
        <v>88</v>
      </c>
      <c r="Q18" s="125">
        <v>16</v>
      </c>
      <c r="R18" s="126" t="s">
        <v>93</v>
      </c>
      <c r="S18" s="127"/>
      <c r="T18" s="128">
        <v>51</v>
      </c>
      <c r="U18" s="125">
        <v>16</v>
      </c>
      <c r="V18" s="126" t="s">
        <v>94</v>
      </c>
      <c r="W18" s="178" t="s">
        <v>200</v>
      </c>
      <c r="X18" s="128"/>
      <c r="Y18" s="129">
        <v>16</v>
      </c>
      <c r="Z18" s="130" t="s">
        <v>97</v>
      </c>
      <c r="AA18" s="131"/>
      <c r="AB18" s="136" t="s">
        <v>88</v>
      </c>
      <c r="AC18" s="129">
        <v>16</v>
      </c>
      <c r="AD18" s="130" t="s">
        <v>97</v>
      </c>
      <c r="AE18" s="131"/>
      <c r="AF18" s="132" t="s">
        <v>88</v>
      </c>
      <c r="AG18" s="147">
        <v>16</v>
      </c>
      <c r="AH18" s="148" t="s">
        <v>91</v>
      </c>
      <c r="AI18" s="149" t="s">
        <v>278</v>
      </c>
      <c r="AJ18" s="151" t="s">
        <v>88</v>
      </c>
      <c r="AK18" s="125">
        <v>16</v>
      </c>
      <c r="AL18" s="126" t="s">
        <v>96</v>
      </c>
      <c r="AM18" s="178" t="s">
        <v>170</v>
      </c>
      <c r="AN18" s="128" t="s">
        <v>88</v>
      </c>
      <c r="AO18" s="125">
        <v>16</v>
      </c>
      <c r="AP18" s="126" t="s">
        <v>93</v>
      </c>
      <c r="AQ18" s="127"/>
      <c r="AR18" s="135">
        <v>25</v>
      </c>
      <c r="AS18" s="147">
        <v>16</v>
      </c>
      <c r="AT18" s="152" t="s">
        <v>91</v>
      </c>
      <c r="AU18" s="153" t="s">
        <v>69</v>
      </c>
      <c r="AV18" s="154" t="s">
        <v>88</v>
      </c>
    </row>
    <row r="19" spans="1:49" x14ac:dyDescent="0.25">
      <c r="A19" s="129">
        <v>17</v>
      </c>
      <c r="B19" s="130" t="s">
        <v>92</v>
      </c>
      <c r="C19" s="131"/>
      <c r="D19" s="144" t="s">
        <v>88</v>
      </c>
      <c r="E19" s="125">
        <v>17</v>
      </c>
      <c r="F19" s="126" t="s">
        <v>95</v>
      </c>
      <c r="G19" s="178" t="s">
        <v>182</v>
      </c>
      <c r="H19" s="135" t="s">
        <v>88</v>
      </c>
      <c r="I19" s="147">
        <v>17</v>
      </c>
      <c r="J19" s="152" t="s">
        <v>94</v>
      </c>
      <c r="K19" s="153" t="s">
        <v>85</v>
      </c>
      <c r="L19" s="154"/>
      <c r="M19" s="129">
        <v>17</v>
      </c>
      <c r="N19" s="130" t="s">
        <v>97</v>
      </c>
      <c r="O19" s="131"/>
      <c r="P19" s="132" t="s">
        <v>88</v>
      </c>
      <c r="Q19" s="125">
        <v>17</v>
      </c>
      <c r="R19" s="126" t="s">
        <v>95</v>
      </c>
      <c r="S19" s="127"/>
      <c r="T19" s="128" t="s">
        <v>88</v>
      </c>
      <c r="U19" s="125">
        <v>17</v>
      </c>
      <c r="V19" s="126" t="s">
        <v>96</v>
      </c>
      <c r="W19" s="178" t="s">
        <v>200</v>
      </c>
      <c r="X19" s="128" t="s">
        <v>88</v>
      </c>
      <c r="Y19" s="125">
        <v>17</v>
      </c>
      <c r="Z19" s="126" t="s">
        <v>93</v>
      </c>
      <c r="AA19" s="127"/>
      <c r="AB19" s="135">
        <v>8</v>
      </c>
      <c r="AC19" s="125">
        <v>17</v>
      </c>
      <c r="AD19" s="126" t="s">
        <v>93</v>
      </c>
      <c r="AE19" s="127"/>
      <c r="AF19" s="128">
        <v>12</v>
      </c>
      <c r="AG19" s="147">
        <v>17</v>
      </c>
      <c r="AH19" s="157" t="s">
        <v>94</v>
      </c>
      <c r="AI19" s="158" t="s">
        <v>60</v>
      </c>
      <c r="AJ19" s="160"/>
      <c r="AK19" s="129">
        <v>17</v>
      </c>
      <c r="AL19" s="130" t="s">
        <v>92</v>
      </c>
      <c r="AM19" s="131"/>
      <c r="AN19" s="132" t="s">
        <v>88</v>
      </c>
      <c r="AO19" s="125">
        <v>17</v>
      </c>
      <c r="AP19" s="126" t="s">
        <v>95</v>
      </c>
      <c r="AQ19" s="127"/>
      <c r="AR19" s="135"/>
      <c r="AS19" s="147">
        <v>17</v>
      </c>
      <c r="AT19" s="152" t="s">
        <v>94</v>
      </c>
      <c r="AU19" s="153" t="s">
        <v>69</v>
      </c>
      <c r="AV19" s="154"/>
    </row>
    <row r="20" spans="1:49" ht="26.25" x14ac:dyDescent="0.25">
      <c r="A20" s="129">
        <v>18</v>
      </c>
      <c r="B20" s="130" t="s">
        <v>97</v>
      </c>
      <c r="C20" s="131"/>
      <c r="D20" s="144" t="s">
        <v>88</v>
      </c>
      <c r="E20" s="125">
        <v>18</v>
      </c>
      <c r="F20" s="126" t="s">
        <v>91</v>
      </c>
      <c r="G20" s="127"/>
      <c r="H20" s="135"/>
      <c r="I20" s="147">
        <v>18</v>
      </c>
      <c r="J20" s="152" t="s">
        <v>96</v>
      </c>
      <c r="K20" s="153" t="s">
        <v>85</v>
      </c>
      <c r="L20" s="154" t="s">
        <v>88</v>
      </c>
      <c r="M20" s="125">
        <v>18</v>
      </c>
      <c r="N20" s="126" t="s">
        <v>93</v>
      </c>
      <c r="O20" s="226" t="s">
        <v>248</v>
      </c>
      <c r="P20" s="128">
        <v>47</v>
      </c>
      <c r="Q20" s="125">
        <v>18</v>
      </c>
      <c r="R20" s="126" t="s">
        <v>91</v>
      </c>
      <c r="S20" s="127" t="s">
        <v>274</v>
      </c>
      <c r="T20" s="128"/>
      <c r="U20" s="129">
        <v>18</v>
      </c>
      <c r="V20" s="130" t="s">
        <v>92</v>
      </c>
      <c r="W20" s="131"/>
      <c r="X20" s="132" t="s">
        <v>88</v>
      </c>
      <c r="Y20" s="125">
        <v>18</v>
      </c>
      <c r="Z20" s="126" t="s">
        <v>95</v>
      </c>
      <c r="AA20" s="127"/>
      <c r="AB20" s="135" t="s">
        <v>88</v>
      </c>
      <c r="AC20" s="125">
        <v>18</v>
      </c>
      <c r="AD20" s="126" t="s">
        <v>95</v>
      </c>
      <c r="AE20" s="127"/>
      <c r="AF20" s="128"/>
      <c r="AG20" s="147">
        <v>18</v>
      </c>
      <c r="AH20" s="157" t="s">
        <v>96</v>
      </c>
      <c r="AI20" s="158" t="s">
        <v>101</v>
      </c>
      <c r="AJ20" s="160" t="s">
        <v>88</v>
      </c>
      <c r="AK20" s="129">
        <v>18</v>
      </c>
      <c r="AL20" s="130" t="s">
        <v>97</v>
      </c>
      <c r="AM20" s="267"/>
      <c r="AN20" s="268"/>
      <c r="AO20" s="125">
        <v>18</v>
      </c>
      <c r="AP20" s="126" t="s">
        <v>91</v>
      </c>
      <c r="AQ20" s="127"/>
      <c r="AR20" s="135" t="s">
        <v>88</v>
      </c>
      <c r="AS20" s="147">
        <v>18</v>
      </c>
      <c r="AT20" s="155" t="s">
        <v>96</v>
      </c>
      <c r="AU20" s="153" t="s">
        <v>69</v>
      </c>
      <c r="AV20" s="154" t="s">
        <v>88</v>
      </c>
    </row>
    <row r="21" spans="1:49" ht="38.25" customHeight="1" x14ac:dyDescent="0.25">
      <c r="A21" s="125">
        <v>19</v>
      </c>
      <c r="B21" s="126" t="s">
        <v>93</v>
      </c>
      <c r="C21" s="218" t="s">
        <v>204</v>
      </c>
      <c r="D21" s="140">
        <v>34</v>
      </c>
      <c r="E21" s="125">
        <v>19</v>
      </c>
      <c r="F21" s="126" t="s">
        <v>94</v>
      </c>
      <c r="G21" s="127" t="s">
        <v>229</v>
      </c>
      <c r="H21" s="135"/>
      <c r="I21" s="129">
        <v>19</v>
      </c>
      <c r="J21" s="130" t="s">
        <v>92</v>
      </c>
      <c r="K21" s="131"/>
      <c r="L21" s="132" t="s">
        <v>88</v>
      </c>
      <c r="M21" s="125">
        <v>19</v>
      </c>
      <c r="N21" s="126" t="s">
        <v>95</v>
      </c>
      <c r="O21" s="127" t="s">
        <v>225</v>
      </c>
      <c r="P21" s="128" t="s">
        <v>88</v>
      </c>
      <c r="Q21" s="125">
        <v>19</v>
      </c>
      <c r="R21" s="126" t="s">
        <v>94</v>
      </c>
      <c r="S21" s="127"/>
      <c r="T21" s="128"/>
      <c r="U21" s="129">
        <v>19</v>
      </c>
      <c r="V21" s="130" t="s">
        <v>97</v>
      </c>
      <c r="W21" s="131"/>
      <c r="X21" s="132" t="s">
        <v>88</v>
      </c>
      <c r="Y21" s="125">
        <v>19</v>
      </c>
      <c r="Z21" s="126" t="s">
        <v>91</v>
      </c>
      <c r="AA21" s="127"/>
      <c r="AB21" s="135"/>
      <c r="AC21" s="125">
        <v>19</v>
      </c>
      <c r="AD21" s="126" t="s">
        <v>91</v>
      </c>
      <c r="AE21" s="127" t="s">
        <v>190</v>
      </c>
      <c r="AF21" s="128" t="s">
        <v>88</v>
      </c>
      <c r="AG21" s="129">
        <v>19</v>
      </c>
      <c r="AH21" s="130" t="s">
        <v>92</v>
      </c>
      <c r="AI21" s="131"/>
      <c r="AJ21" s="136" t="s">
        <v>88</v>
      </c>
      <c r="AK21" s="125">
        <v>19</v>
      </c>
      <c r="AL21" s="126" t="s">
        <v>93</v>
      </c>
      <c r="AM21" s="226" t="s">
        <v>249</v>
      </c>
      <c r="AN21" s="128">
        <v>21</v>
      </c>
      <c r="AO21" s="125">
        <v>19</v>
      </c>
      <c r="AP21" s="126" t="s">
        <v>94</v>
      </c>
      <c r="AQ21" s="127"/>
      <c r="AR21" s="135"/>
      <c r="AS21" s="129">
        <v>19</v>
      </c>
      <c r="AT21" s="130" t="s">
        <v>92</v>
      </c>
      <c r="AU21" s="131"/>
      <c r="AV21" s="132" t="s">
        <v>88</v>
      </c>
    </row>
    <row r="22" spans="1:49" ht="60.75" customHeight="1" x14ac:dyDescent="0.25">
      <c r="A22" s="125">
        <v>20</v>
      </c>
      <c r="B22" s="126" t="s">
        <v>95</v>
      </c>
      <c r="C22" s="218" t="s">
        <v>251</v>
      </c>
      <c r="D22" s="140" t="s">
        <v>88</v>
      </c>
      <c r="E22" s="125">
        <v>20</v>
      </c>
      <c r="F22" s="126" t="s">
        <v>96</v>
      </c>
      <c r="G22" s="127"/>
      <c r="H22" s="135" t="s">
        <v>88</v>
      </c>
      <c r="I22" s="129">
        <v>20</v>
      </c>
      <c r="J22" s="130" t="s">
        <v>97</v>
      </c>
      <c r="K22" s="131"/>
      <c r="L22" s="132" t="s">
        <v>88</v>
      </c>
      <c r="M22" s="125">
        <v>20</v>
      </c>
      <c r="N22" s="126" t="s">
        <v>91</v>
      </c>
      <c r="O22" s="127"/>
      <c r="P22" s="128"/>
      <c r="Q22" s="125">
        <v>20</v>
      </c>
      <c r="R22" s="126" t="s">
        <v>96</v>
      </c>
      <c r="S22" s="127"/>
      <c r="T22" s="128" t="s">
        <v>88</v>
      </c>
      <c r="U22" s="125">
        <v>20</v>
      </c>
      <c r="V22" s="126" t="s">
        <v>93</v>
      </c>
      <c r="W22" s="127"/>
      <c r="X22" s="128">
        <v>4</v>
      </c>
      <c r="Y22" s="125">
        <v>20</v>
      </c>
      <c r="Z22" s="126" t="s">
        <v>94</v>
      </c>
      <c r="AA22" s="127"/>
      <c r="AB22" s="135"/>
      <c r="AC22" s="125">
        <v>20</v>
      </c>
      <c r="AD22" s="126" t="s">
        <v>94</v>
      </c>
      <c r="AE22" s="127"/>
      <c r="AF22" s="128"/>
      <c r="AG22" s="129">
        <v>20</v>
      </c>
      <c r="AH22" s="130" t="s">
        <v>97</v>
      </c>
      <c r="AI22" s="131" t="s">
        <v>73</v>
      </c>
      <c r="AJ22" s="136" t="s">
        <v>88</v>
      </c>
      <c r="AK22" s="125">
        <v>20</v>
      </c>
      <c r="AL22" s="126" t="s">
        <v>95</v>
      </c>
      <c r="AM22" s="127" t="s">
        <v>245</v>
      </c>
      <c r="AN22" s="128"/>
      <c r="AO22" s="125">
        <v>20</v>
      </c>
      <c r="AP22" s="134" t="s">
        <v>96</v>
      </c>
      <c r="AQ22" s="219" t="s">
        <v>181</v>
      </c>
      <c r="AR22" s="135" t="s">
        <v>88</v>
      </c>
      <c r="AS22" s="129">
        <v>20</v>
      </c>
      <c r="AT22" s="130" t="s">
        <v>97</v>
      </c>
      <c r="AU22" s="131"/>
      <c r="AV22" s="132" t="s">
        <v>88</v>
      </c>
    </row>
    <row r="23" spans="1:49" ht="120.75" customHeight="1" x14ac:dyDescent="0.25">
      <c r="A23" s="125">
        <v>21</v>
      </c>
      <c r="B23" s="126" t="s">
        <v>91</v>
      </c>
      <c r="C23" s="226" t="s">
        <v>253</v>
      </c>
      <c r="D23" s="140"/>
      <c r="E23" s="129">
        <v>21</v>
      </c>
      <c r="F23" s="130" t="s">
        <v>92</v>
      </c>
      <c r="G23" s="131"/>
      <c r="H23" s="136" t="s">
        <v>88</v>
      </c>
      <c r="I23" s="125">
        <v>21</v>
      </c>
      <c r="J23" s="126" t="s">
        <v>93</v>
      </c>
      <c r="K23" s="127"/>
      <c r="L23" s="128">
        <v>43</v>
      </c>
      <c r="M23" s="125">
        <v>21</v>
      </c>
      <c r="N23" s="126" t="s">
        <v>94</v>
      </c>
      <c r="O23" s="127"/>
      <c r="P23" s="128"/>
      <c r="Q23" s="129">
        <v>21</v>
      </c>
      <c r="R23" s="130" t="s">
        <v>92</v>
      </c>
      <c r="S23" s="131"/>
      <c r="T23" s="132" t="s">
        <v>88</v>
      </c>
      <c r="U23" s="125">
        <v>21</v>
      </c>
      <c r="V23" s="126" t="s">
        <v>95</v>
      </c>
      <c r="W23" s="127"/>
      <c r="X23" s="128" t="s">
        <v>88</v>
      </c>
      <c r="Y23" s="125">
        <v>21</v>
      </c>
      <c r="Z23" s="126" t="s">
        <v>96</v>
      </c>
      <c r="AA23" s="127"/>
      <c r="AB23" s="135" t="s">
        <v>88</v>
      </c>
      <c r="AC23" s="125">
        <v>21</v>
      </c>
      <c r="AD23" s="126" t="s">
        <v>96</v>
      </c>
      <c r="AE23" s="225" t="s">
        <v>199</v>
      </c>
      <c r="AF23" s="128" t="s">
        <v>88</v>
      </c>
      <c r="AG23" s="147">
        <v>21</v>
      </c>
      <c r="AH23" s="157" t="s">
        <v>93</v>
      </c>
      <c r="AI23" s="158" t="s">
        <v>145</v>
      </c>
      <c r="AJ23" s="160">
        <v>17</v>
      </c>
      <c r="AK23" s="125">
        <v>21</v>
      </c>
      <c r="AL23" s="126" t="s">
        <v>91</v>
      </c>
      <c r="AM23" s="127"/>
      <c r="AN23" s="128" t="s">
        <v>88</v>
      </c>
      <c r="AO23" s="129">
        <v>21</v>
      </c>
      <c r="AP23" s="130" t="s">
        <v>92</v>
      </c>
      <c r="AQ23" s="131"/>
      <c r="AR23" s="136" t="s">
        <v>88</v>
      </c>
      <c r="AS23" s="147">
        <v>21</v>
      </c>
      <c r="AT23" s="155" t="s">
        <v>93</v>
      </c>
      <c r="AU23" s="153" t="s">
        <v>69</v>
      </c>
      <c r="AV23" s="154">
        <v>30</v>
      </c>
      <c r="AW23" s="3"/>
    </row>
    <row r="24" spans="1:49" ht="51.75" x14ac:dyDescent="0.25">
      <c r="A24" s="125">
        <v>22</v>
      </c>
      <c r="B24" s="126" t="s">
        <v>94</v>
      </c>
      <c r="C24" s="218" t="s">
        <v>237</v>
      </c>
      <c r="D24" s="140"/>
      <c r="E24" s="129">
        <v>22</v>
      </c>
      <c r="F24" s="130" t="s">
        <v>97</v>
      </c>
      <c r="G24" s="131"/>
      <c r="H24" s="136" t="s">
        <v>88</v>
      </c>
      <c r="I24" s="125">
        <v>22</v>
      </c>
      <c r="J24" s="126" t="s">
        <v>95</v>
      </c>
      <c r="K24" s="226" t="s">
        <v>238</v>
      </c>
      <c r="L24" s="128"/>
      <c r="M24" s="125">
        <v>22</v>
      </c>
      <c r="N24" s="126" t="s">
        <v>96</v>
      </c>
      <c r="O24" s="127" t="s">
        <v>211</v>
      </c>
      <c r="P24" s="128" t="s">
        <v>88</v>
      </c>
      <c r="Q24" s="129">
        <v>22</v>
      </c>
      <c r="R24" s="130" t="s">
        <v>97</v>
      </c>
      <c r="S24" s="131"/>
      <c r="T24" s="132" t="s">
        <v>88</v>
      </c>
      <c r="U24" s="125">
        <v>22</v>
      </c>
      <c r="V24" s="126" t="s">
        <v>91</v>
      </c>
      <c r="W24" s="127"/>
      <c r="X24" s="128"/>
      <c r="Y24" s="129">
        <v>22</v>
      </c>
      <c r="Z24" s="130" t="s">
        <v>92</v>
      </c>
      <c r="AA24" s="131"/>
      <c r="AB24" s="136" t="s">
        <v>88</v>
      </c>
      <c r="AC24" s="129">
        <v>22</v>
      </c>
      <c r="AD24" s="130" t="s">
        <v>92</v>
      </c>
      <c r="AE24" s="131"/>
      <c r="AF24" s="132" t="s">
        <v>88</v>
      </c>
      <c r="AG24" s="125">
        <v>22</v>
      </c>
      <c r="AH24" s="126" t="s">
        <v>95</v>
      </c>
      <c r="AI24" s="226" t="s">
        <v>242</v>
      </c>
      <c r="AJ24" s="135"/>
      <c r="AK24" s="125">
        <v>22</v>
      </c>
      <c r="AL24" s="126" t="s">
        <v>94</v>
      </c>
      <c r="AM24" s="127"/>
      <c r="AN24" s="128"/>
      <c r="AO24" s="129">
        <v>22</v>
      </c>
      <c r="AP24" s="130" t="s">
        <v>97</v>
      </c>
      <c r="AQ24" s="131"/>
      <c r="AR24" s="136" t="s">
        <v>88</v>
      </c>
      <c r="AS24" s="147">
        <v>22</v>
      </c>
      <c r="AT24" s="152" t="s">
        <v>95</v>
      </c>
      <c r="AU24" s="153" t="s">
        <v>69</v>
      </c>
      <c r="AV24" s="154"/>
      <c r="AW24" s="3"/>
    </row>
    <row r="25" spans="1:49" ht="39" x14ac:dyDescent="0.25">
      <c r="A25" s="125">
        <v>23</v>
      </c>
      <c r="B25" s="126" t="s">
        <v>96</v>
      </c>
      <c r="C25" s="218" t="s">
        <v>204</v>
      </c>
      <c r="D25" s="140" t="s">
        <v>88</v>
      </c>
      <c r="E25" s="125">
        <v>23</v>
      </c>
      <c r="F25" s="126" t="s">
        <v>93</v>
      </c>
      <c r="G25" s="218" t="s">
        <v>209</v>
      </c>
      <c r="H25" s="135">
        <v>39</v>
      </c>
      <c r="I25" s="125">
        <v>23</v>
      </c>
      <c r="J25" s="126" t="s">
        <v>91</v>
      </c>
      <c r="K25" s="127"/>
      <c r="L25" s="128"/>
      <c r="M25" s="129">
        <v>23</v>
      </c>
      <c r="N25" s="130" t="s">
        <v>92</v>
      </c>
      <c r="O25" s="131"/>
      <c r="P25" s="132" t="s">
        <v>88</v>
      </c>
      <c r="Q25" s="147">
        <v>23</v>
      </c>
      <c r="R25" s="148" t="s">
        <v>93</v>
      </c>
      <c r="S25" s="149" t="s">
        <v>275</v>
      </c>
      <c r="T25" s="150">
        <v>52</v>
      </c>
      <c r="U25" s="125">
        <v>23</v>
      </c>
      <c r="V25" s="126" t="s">
        <v>94</v>
      </c>
      <c r="W25" s="127"/>
      <c r="X25" s="128"/>
      <c r="Y25" s="129">
        <v>23</v>
      </c>
      <c r="Z25" s="130" t="s">
        <v>97</v>
      </c>
      <c r="AA25" s="131"/>
      <c r="AB25" s="136" t="s">
        <v>88</v>
      </c>
      <c r="AC25" s="129">
        <v>23</v>
      </c>
      <c r="AD25" s="130" t="s">
        <v>97</v>
      </c>
      <c r="AE25" s="131"/>
      <c r="AF25" s="132" t="s">
        <v>88</v>
      </c>
      <c r="AG25" s="125">
        <v>23</v>
      </c>
      <c r="AH25" s="126" t="s">
        <v>91</v>
      </c>
      <c r="AI25" s="127"/>
      <c r="AJ25" s="135" t="s">
        <v>88</v>
      </c>
      <c r="AK25" s="125">
        <v>23</v>
      </c>
      <c r="AL25" s="134" t="s">
        <v>96</v>
      </c>
      <c r="AM25" s="127"/>
      <c r="AN25" s="128" t="s">
        <v>88</v>
      </c>
      <c r="AO25" s="125">
        <v>23</v>
      </c>
      <c r="AP25" s="134" t="s">
        <v>93</v>
      </c>
      <c r="AQ25" s="127"/>
      <c r="AR25" s="135">
        <v>26</v>
      </c>
      <c r="AS25" s="147">
        <v>23</v>
      </c>
      <c r="AT25" s="152" t="s">
        <v>91</v>
      </c>
      <c r="AU25" s="153" t="s">
        <v>69</v>
      </c>
      <c r="AV25" s="154" t="s">
        <v>88</v>
      </c>
    </row>
    <row r="26" spans="1:49" ht="39" x14ac:dyDescent="0.25">
      <c r="A26" s="129">
        <v>24</v>
      </c>
      <c r="B26" s="130" t="s">
        <v>92</v>
      </c>
      <c r="C26" s="131"/>
      <c r="D26" s="139" t="s">
        <v>88</v>
      </c>
      <c r="E26" s="125">
        <v>24</v>
      </c>
      <c r="F26" s="126" t="s">
        <v>95</v>
      </c>
      <c r="G26" s="218" t="s">
        <v>184</v>
      </c>
      <c r="H26" s="135" t="s">
        <v>88</v>
      </c>
      <c r="I26" s="125">
        <v>24</v>
      </c>
      <c r="J26" s="126" t="s">
        <v>94</v>
      </c>
      <c r="K26" s="127"/>
      <c r="L26" s="128"/>
      <c r="M26" s="129">
        <v>24</v>
      </c>
      <c r="N26" s="130" t="s">
        <v>97</v>
      </c>
      <c r="O26" s="131"/>
      <c r="P26" s="132" t="s">
        <v>88</v>
      </c>
      <c r="Q26" s="147">
        <v>24</v>
      </c>
      <c r="R26" s="148" t="s">
        <v>95</v>
      </c>
      <c r="S26" s="149" t="s">
        <v>276</v>
      </c>
      <c r="T26" s="150" t="s">
        <v>88</v>
      </c>
      <c r="U26" s="125">
        <v>24</v>
      </c>
      <c r="V26" s="126" t="s">
        <v>96</v>
      </c>
      <c r="W26" s="127"/>
      <c r="X26" s="128" t="s">
        <v>88</v>
      </c>
      <c r="Y26" s="125">
        <v>24</v>
      </c>
      <c r="Z26" s="126" t="s">
        <v>93</v>
      </c>
      <c r="AA26" s="127"/>
      <c r="AB26" s="135">
        <v>9</v>
      </c>
      <c r="AC26" s="125">
        <v>24</v>
      </c>
      <c r="AD26" s="126" t="s">
        <v>93</v>
      </c>
      <c r="AE26" s="127"/>
      <c r="AF26" s="128">
        <v>13</v>
      </c>
      <c r="AG26" s="125">
        <v>24</v>
      </c>
      <c r="AH26" s="126" t="s">
        <v>94</v>
      </c>
      <c r="AI26" s="127" t="s">
        <v>228</v>
      </c>
      <c r="AJ26" s="135"/>
      <c r="AK26" s="129">
        <v>24</v>
      </c>
      <c r="AL26" s="130" t="s">
        <v>92</v>
      </c>
      <c r="AM26" s="131"/>
      <c r="AN26" s="132" t="s">
        <v>88</v>
      </c>
      <c r="AO26" s="125">
        <v>24</v>
      </c>
      <c r="AP26" s="126" t="s">
        <v>95</v>
      </c>
      <c r="AQ26" s="127"/>
      <c r="AR26" s="135"/>
      <c r="AS26" s="147">
        <v>24</v>
      </c>
      <c r="AT26" s="152" t="s">
        <v>94</v>
      </c>
      <c r="AU26" s="153" t="s">
        <v>69</v>
      </c>
      <c r="AV26" s="154"/>
    </row>
    <row r="27" spans="1:49" ht="39" x14ac:dyDescent="0.25">
      <c r="A27" s="129">
        <v>25</v>
      </c>
      <c r="B27" s="130" t="s">
        <v>97</v>
      </c>
      <c r="C27" s="131"/>
      <c r="D27" s="139" t="s">
        <v>88</v>
      </c>
      <c r="E27" s="125">
        <v>25</v>
      </c>
      <c r="F27" s="126" t="s">
        <v>91</v>
      </c>
      <c r="G27" s="218" t="s">
        <v>184</v>
      </c>
      <c r="H27" s="135"/>
      <c r="I27" s="125">
        <v>25</v>
      </c>
      <c r="J27" s="126" t="s">
        <v>96</v>
      </c>
      <c r="K27" s="127"/>
      <c r="L27" s="128" t="s">
        <v>88</v>
      </c>
      <c r="M27" s="125">
        <v>25</v>
      </c>
      <c r="N27" s="126" t="s">
        <v>93</v>
      </c>
      <c r="O27" s="226" t="s">
        <v>246</v>
      </c>
      <c r="P27" s="128">
        <v>48</v>
      </c>
      <c r="Q27" s="147">
        <v>25</v>
      </c>
      <c r="R27" s="157" t="s">
        <v>91</v>
      </c>
      <c r="S27" s="158" t="s">
        <v>146</v>
      </c>
      <c r="T27" s="159"/>
      <c r="U27" s="129">
        <v>25</v>
      </c>
      <c r="V27" s="130" t="s">
        <v>92</v>
      </c>
      <c r="W27" s="131"/>
      <c r="X27" s="132" t="s">
        <v>88</v>
      </c>
      <c r="Y27" s="125">
        <v>25</v>
      </c>
      <c r="Z27" s="126" t="s">
        <v>95</v>
      </c>
      <c r="AA27" s="127"/>
      <c r="AB27" s="135" t="s">
        <v>88</v>
      </c>
      <c r="AC27" s="125">
        <v>25</v>
      </c>
      <c r="AD27" s="126" t="s">
        <v>95</v>
      </c>
      <c r="AE27" s="127"/>
      <c r="AF27" s="128"/>
      <c r="AG27" s="125">
        <v>25</v>
      </c>
      <c r="AH27" s="134" t="s">
        <v>96</v>
      </c>
      <c r="AI27" s="127" t="s">
        <v>214</v>
      </c>
      <c r="AJ27" s="135" t="s">
        <v>88</v>
      </c>
      <c r="AK27" s="129">
        <v>25</v>
      </c>
      <c r="AL27" s="130" t="s">
        <v>97</v>
      </c>
      <c r="AM27" s="131"/>
      <c r="AN27" s="132" t="s">
        <v>88</v>
      </c>
      <c r="AO27" s="125">
        <v>25</v>
      </c>
      <c r="AP27" s="126" t="s">
        <v>91</v>
      </c>
      <c r="AQ27" s="178" t="s">
        <v>165</v>
      </c>
      <c r="AR27" s="135" t="s">
        <v>88</v>
      </c>
      <c r="AS27" s="147">
        <v>25</v>
      </c>
      <c r="AT27" s="152" t="s">
        <v>96</v>
      </c>
      <c r="AU27" s="153" t="s">
        <v>69</v>
      </c>
      <c r="AV27" s="154" t="s">
        <v>88</v>
      </c>
    </row>
    <row r="28" spans="1:49" ht="39" x14ac:dyDescent="0.25">
      <c r="A28" s="125">
        <v>26</v>
      </c>
      <c r="B28" s="126" t="s">
        <v>93</v>
      </c>
      <c r="C28" s="226" t="s">
        <v>285</v>
      </c>
      <c r="D28" s="140">
        <v>35</v>
      </c>
      <c r="E28" s="125">
        <v>26</v>
      </c>
      <c r="F28" s="126" t="s">
        <v>94</v>
      </c>
      <c r="G28" s="218" t="s">
        <v>184</v>
      </c>
      <c r="H28" s="135"/>
      <c r="I28" s="129">
        <v>26</v>
      </c>
      <c r="J28" s="130" t="s">
        <v>92</v>
      </c>
      <c r="K28" s="131"/>
      <c r="L28" s="132" t="s">
        <v>88</v>
      </c>
      <c r="M28" s="125">
        <v>26</v>
      </c>
      <c r="N28" s="126" t="s">
        <v>95</v>
      </c>
      <c r="O28" s="226" t="s">
        <v>241</v>
      </c>
      <c r="P28" s="128" t="s">
        <v>88</v>
      </c>
      <c r="Q28" s="147">
        <v>26</v>
      </c>
      <c r="R28" s="157" t="s">
        <v>94</v>
      </c>
      <c r="S28" s="158" t="s">
        <v>52</v>
      </c>
      <c r="T28" s="159"/>
      <c r="U28" s="129">
        <v>26</v>
      </c>
      <c r="V28" s="130" t="s">
        <v>97</v>
      </c>
      <c r="W28" s="131"/>
      <c r="X28" s="132" t="s">
        <v>88</v>
      </c>
      <c r="Y28" s="125">
        <v>26</v>
      </c>
      <c r="Z28" s="126" t="s">
        <v>91</v>
      </c>
      <c r="AA28" s="127"/>
      <c r="AB28" s="135"/>
      <c r="AC28" s="125">
        <v>26</v>
      </c>
      <c r="AD28" s="126" t="s">
        <v>91</v>
      </c>
      <c r="AE28" s="127" t="s">
        <v>190</v>
      </c>
      <c r="AF28" s="128" t="s">
        <v>88</v>
      </c>
      <c r="AG28" s="129">
        <v>26</v>
      </c>
      <c r="AH28" s="130" t="s">
        <v>92</v>
      </c>
      <c r="AI28" s="131"/>
      <c r="AJ28" s="136" t="s">
        <v>88</v>
      </c>
      <c r="AK28" s="125">
        <v>26</v>
      </c>
      <c r="AL28" s="134" t="s">
        <v>93</v>
      </c>
      <c r="AM28" s="226" t="s">
        <v>297</v>
      </c>
      <c r="AN28" s="128">
        <v>22</v>
      </c>
      <c r="AO28" s="125">
        <v>26</v>
      </c>
      <c r="AP28" s="126" t="s">
        <v>94</v>
      </c>
      <c r="AQ28" s="218" t="s">
        <v>180</v>
      </c>
      <c r="AR28" s="135"/>
      <c r="AS28" s="129">
        <v>26</v>
      </c>
      <c r="AT28" s="133" t="s">
        <v>92</v>
      </c>
      <c r="AU28" s="131"/>
      <c r="AV28" s="132" t="s">
        <v>88</v>
      </c>
    </row>
    <row r="29" spans="1:49" ht="51.75" x14ac:dyDescent="0.25">
      <c r="A29" s="125">
        <v>27</v>
      </c>
      <c r="B29" s="126" t="s">
        <v>95</v>
      </c>
      <c r="C29" s="127"/>
      <c r="D29" s="140" t="s">
        <v>88</v>
      </c>
      <c r="E29" s="125">
        <v>27</v>
      </c>
      <c r="F29" s="126" t="s">
        <v>96</v>
      </c>
      <c r="G29" s="218" t="s">
        <v>185</v>
      </c>
      <c r="H29" s="135" t="s">
        <v>88</v>
      </c>
      <c r="I29" s="129">
        <v>27</v>
      </c>
      <c r="J29" s="130" t="s">
        <v>97</v>
      </c>
      <c r="K29" s="131"/>
      <c r="L29" s="132" t="s">
        <v>88</v>
      </c>
      <c r="M29" s="125">
        <v>27</v>
      </c>
      <c r="N29" s="126" t="s">
        <v>91</v>
      </c>
      <c r="O29" s="127"/>
      <c r="P29" s="128"/>
      <c r="Q29" s="147">
        <v>27</v>
      </c>
      <c r="R29" s="148" t="s">
        <v>96</v>
      </c>
      <c r="S29" s="149" t="s">
        <v>275</v>
      </c>
      <c r="T29" s="150" t="s">
        <v>88</v>
      </c>
      <c r="U29" s="125">
        <v>27</v>
      </c>
      <c r="V29" s="126" t="s">
        <v>93</v>
      </c>
      <c r="W29" s="127"/>
      <c r="X29" s="128">
        <v>5</v>
      </c>
      <c r="Y29" s="125">
        <v>27</v>
      </c>
      <c r="Z29" s="126" t="s">
        <v>94</v>
      </c>
      <c r="AA29" s="127"/>
      <c r="AB29" s="135"/>
      <c r="AC29" s="125">
        <v>27</v>
      </c>
      <c r="AD29" s="126" t="s">
        <v>94</v>
      </c>
      <c r="AE29" s="127"/>
      <c r="AF29" s="128"/>
      <c r="AG29" s="129">
        <v>27</v>
      </c>
      <c r="AH29" s="130" t="s">
        <v>97</v>
      </c>
      <c r="AI29" s="131"/>
      <c r="AJ29" s="136" t="s">
        <v>88</v>
      </c>
      <c r="AK29" s="125">
        <v>27</v>
      </c>
      <c r="AL29" s="126" t="s">
        <v>95</v>
      </c>
      <c r="AM29" s="127"/>
      <c r="AN29" s="128"/>
      <c r="AO29" s="125">
        <v>27</v>
      </c>
      <c r="AP29" s="126" t="s">
        <v>96</v>
      </c>
      <c r="AQ29" s="178" t="s">
        <v>166</v>
      </c>
      <c r="AR29" s="135" t="s">
        <v>88</v>
      </c>
      <c r="AS29" s="129">
        <v>27</v>
      </c>
      <c r="AT29" s="130" t="s">
        <v>97</v>
      </c>
      <c r="AU29" s="131"/>
      <c r="AV29" s="132" t="s">
        <v>88</v>
      </c>
    </row>
    <row r="30" spans="1:49" ht="26.25" x14ac:dyDescent="0.25">
      <c r="A30" s="125">
        <v>28</v>
      </c>
      <c r="B30" s="126" t="s">
        <v>91</v>
      </c>
      <c r="C30" s="127"/>
      <c r="D30" s="140"/>
      <c r="E30" s="129">
        <v>28</v>
      </c>
      <c r="F30" s="130" t="s">
        <v>92</v>
      </c>
      <c r="G30" s="131"/>
      <c r="H30" s="136" t="s">
        <v>88</v>
      </c>
      <c r="I30" s="125">
        <v>28</v>
      </c>
      <c r="J30" s="126" t="s">
        <v>93</v>
      </c>
      <c r="K30" s="218" t="s">
        <v>244</v>
      </c>
      <c r="L30" s="128">
        <v>44</v>
      </c>
      <c r="M30" s="125">
        <v>28</v>
      </c>
      <c r="N30" s="126" t="s">
        <v>94</v>
      </c>
      <c r="O30" s="127"/>
      <c r="P30" s="128"/>
      <c r="Q30" s="129">
        <v>28</v>
      </c>
      <c r="R30" s="130" t="s">
        <v>92</v>
      </c>
      <c r="S30" s="131"/>
      <c r="T30" s="132" t="s">
        <v>88</v>
      </c>
      <c r="U30" s="125">
        <v>28</v>
      </c>
      <c r="V30" s="126" t="s">
        <v>95</v>
      </c>
      <c r="W30" s="127"/>
      <c r="X30" s="128" t="s">
        <v>88</v>
      </c>
      <c r="Y30" s="125">
        <v>28</v>
      </c>
      <c r="Z30" s="134" t="s">
        <v>96</v>
      </c>
      <c r="AA30" s="127"/>
      <c r="AB30" s="128" t="s">
        <v>88</v>
      </c>
      <c r="AC30" s="125">
        <v>28</v>
      </c>
      <c r="AD30" s="134" t="s">
        <v>96</v>
      </c>
      <c r="AE30" s="127"/>
      <c r="AF30" s="128" t="s">
        <v>88</v>
      </c>
      <c r="AG30" s="125">
        <v>28</v>
      </c>
      <c r="AH30" s="134" t="s">
        <v>93</v>
      </c>
      <c r="AI30" s="127" t="s">
        <v>223</v>
      </c>
      <c r="AJ30" s="135">
        <v>18</v>
      </c>
      <c r="AK30" s="125">
        <v>28</v>
      </c>
      <c r="AL30" s="126" t="s">
        <v>91</v>
      </c>
      <c r="AM30" s="127"/>
      <c r="AN30" s="128" t="s">
        <v>88</v>
      </c>
      <c r="AO30" s="129">
        <v>28</v>
      </c>
      <c r="AP30" s="133" t="s">
        <v>92</v>
      </c>
      <c r="AQ30" s="131"/>
      <c r="AR30" s="136" t="s">
        <v>88</v>
      </c>
      <c r="AS30" s="147">
        <v>28</v>
      </c>
      <c r="AT30" s="152" t="s">
        <v>93</v>
      </c>
      <c r="AU30" s="153" t="s">
        <v>69</v>
      </c>
      <c r="AV30" s="154">
        <v>31</v>
      </c>
    </row>
    <row r="31" spans="1:49" x14ac:dyDescent="0.25">
      <c r="A31" s="125">
        <v>29</v>
      </c>
      <c r="B31" s="126" t="s">
        <v>94</v>
      </c>
      <c r="C31" s="127" t="s">
        <v>243</v>
      </c>
      <c r="D31" s="138"/>
      <c r="E31" s="129">
        <v>29</v>
      </c>
      <c r="F31" s="130" t="s">
        <v>97</v>
      </c>
      <c r="G31" s="131"/>
      <c r="H31" s="136" t="s">
        <v>88</v>
      </c>
      <c r="I31" s="125">
        <v>29</v>
      </c>
      <c r="J31" s="126" t="s">
        <v>95</v>
      </c>
      <c r="K31" s="178" t="s">
        <v>172</v>
      </c>
      <c r="L31" s="128" t="s">
        <v>88</v>
      </c>
      <c r="M31" s="125">
        <v>29</v>
      </c>
      <c r="N31" s="126" t="s">
        <v>96</v>
      </c>
      <c r="O31" s="127"/>
      <c r="P31" s="128" t="s">
        <v>88</v>
      </c>
      <c r="Q31" s="129">
        <v>29</v>
      </c>
      <c r="R31" s="130" t="s">
        <v>97</v>
      </c>
      <c r="S31" s="131"/>
      <c r="T31" s="132" t="s">
        <v>88</v>
      </c>
      <c r="U31" s="125">
        <v>29</v>
      </c>
      <c r="V31" s="126" t="s">
        <v>91</v>
      </c>
      <c r="W31" s="222" t="s">
        <v>175</v>
      </c>
      <c r="X31" s="128"/>
      <c r="Y31" s="109"/>
      <c r="Z31" s="110"/>
      <c r="AA31" s="111"/>
      <c r="AB31" s="83"/>
      <c r="AC31" s="129">
        <v>29</v>
      </c>
      <c r="AD31" s="130" t="s">
        <v>92</v>
      </c>
      <c r="AE31" s="131"/>
      <c r="AF31" s="132" t="s">
        <v>88</v>
      </c>
      <c r="AG31" s="125">
        <v>29</v>
      </c>
      <c r="AH31" s="126" t="s">
        <v>95</v>
      </c>
      <c r="AI31" s="127"/>
      <c r="AJ31" s="135"/>
      <c r="AK31" s="147">
        <v>29</v>
      </c>
      <c r="AL31" s="157" t="s">
        <v>94</v>
      </c>
      <c r="AM31" s="158" t="s">
        <v>151</v>
      </c>
      <c r="AN31" s="159"/>
      <c r="AO31" s="129">
        <v>29</v>
      </c>
      <c r="AP31" s="130" t="s">
        <v>97</v>
      </c>
      <c r="AQ31" s="131"/>
      <c r="AR31" s="136" t="s">
        <v>88</v>
      </c>
      <c r="AS31" s="147">
        <v>29</v>
      </c>
      <c r="AT31" s="152" t="s">
        <v>95</v>
      </c>
      <c r="AU31" s="153" t="s">
        <v>69</v>
      </c>
      <c r="AV31" s="154"/>
    </row>
    <row r="32" spans="1:49" x14ac:dyDescent="0.25">
      <c r="A32" s="125">
        <v>30</v>
      </c>
      <c r="B32" s="126" t="s">
        <v>96</v>
      </c>
      <c r="C32" s="127"/>
      <c r="D32" s="138" t="s">
        <v>88</v>
      </c>
      <c r="E32" s="125">
        <v>30</v>
      </c>
      <c r="F32" s="126" t="s">
        <v>93</v>
      </c>
      <c r="G32" s="221" t="s">
        <v>179</v>
      </c>
      <c r="H32" s="135">
        <v>40</v>
      </c>
      <c r="I32" s="125">
        <v>30</v>
      </c>
      <c r="J32" s="126" t="s">
        <v>91</v>
      </c>
      <c r="K32" s="127" t="s">
        <v>188</v>
      </c>
      <c r="L32" s="128"/>
      <c r="M32" s="129">
        <v>30</v>
      </c>
      <c r="N32" s="130" t="s">
        <v>92</v>
      </c>
      <c r="O32" s="131"/>
      <c r="P32" s="132" t="s">
        <v>88</v>
      </c>
      <c r="Q32" s="147">
        <v>30</v>
      </c>
      <c r="R32" s="148" t="s">
        <v>93</v>
      </c>
      <c r="S32" s="149" t="s">
        <v>275</v>
      </c>
      <c r="T32" s="150">
        <v>1</v>
      </c>
      <c r="U32" s="125">
        <v>30</v>
      </c>
      <c r="V32" s="126" t="s">
        <v>94</v>
      </c>
      <c r="W32" s="127"/>
      <c r="X32" s="128"/>
      <c r="Y32" s="112"/>
      <c r="Z32" s="113"/>
      <c r="AA32" s="114"/>
      <c r="AB32" s="82"/>
      <c r="AC32" s="129">
        <v>30</v>
      </c>
      <c r="AD32" s="130" t="s">
        <v>97</v>
      </c>
      <c r="AE32" s="131"/>
      <c r="AF32" s="132" t="s">
        <v>88</v>
      </c>
      <c r="AG32" s="125">
        <v>30</v>
      </c>
      <c r="AH32" s="126" t="s">
        <v>91</v>
      </c>
      <c r="AI32" s="127"/>
      <c r="AJ32" s="135" t="s">
        <v>88</v>
      </c>
      <c r="AK32" s="147">
        <v>30</v>
      </c>
      <c r="AL32" s="148" t="s">
        <v>96</v>
      </c>
      <c r="AM32" s="149" t="s">
        <v>66</v>
      </c>
      <c r="AN32" s="150" t="s">
        <v>88</v>
      </c>
      <c r="AO32" s="147">
        <v>30</v>
      </c>
      <c r="AP32" s="148" t="s">
        <v>93</v>
      </c>
      <c r="AQ32" s="153" t="s">
        <v>282</v>
      </c>
      <c r="AR32" s="151">
        <v>27</v>
      </c>
      <c r="AS32" s="147">
        <v>30</v>
      </c>
      <c r="AT32" s="152" t="s">
        <v>91</v>
      </c>
      <c r="AU32" s="153" t="s">
        <v>69</v>
      </c>
      <c r="AV32" s="154" t="s">
        <v>88</v>
      </c>
    </row>
    <row r="33" spans="1:49" ht="39" x14ac:dyDescent="0.25">
      <c r="A33" s="161">
        <v>31</v>
      </c>
      <c r="B33" s="162" t="s">
        <v>92</v>
      </c>
      <c r="C33" s="163"/>
      <c r="D33" s="164" t="s">
        <v>88</v>
      </c>
      <c r="E33" s="112"/>
      <c r="F33" s="113"/>
      <c r="G33" s="114"/>
      <c r="H33" s="137"/>
      <c r="I33" s="112">
        <v>31</v>
      </c>
      <c r="J33" s="113" t="s">
        <v>94</v>
      </c>
      <c r="K33" s="178" t="s">
        <v>172</v>
      </c>
      <c r="L33" s="165"/>
      <c r="M33" s="112"/>
      <c r="N33" s="113"/>
      <c r="O33" s="114"/>
      <c r="P33" s="82"/>
      <c r="Q33" s="166">
        <v>31</v>
      </c>
      <c r="R33" s="167" t="s">
        <v>95</v>
      </c>
      <c r="S33" s="149" t="s">
        <v>275</v>
      </c>
      <c r="T33" s="168" t="s">
        <v>88</v>
      </c>
      <c r="U33" s="112">
        <v>31</v>
      </c>
      <c r="V33" s="113" t="s">
        <v>96</v>
      </c>
      <c r="W33" s="220" t="s">
        <v>177</v>
      </c>
      <c r="X33" s="165" t="s">
        <v>88</v>
      </c>
      <c r="AC33" s="166">
        <v>31</v>
      </c>
      <c r="AD33" s="167" t="s">
        <v>93</v>
      </c>
      <c r="AE33" s="191" t="s">
        <v>277</v>
      </c>
      <c r="AF33" s="168">
        <v>14</v>
      </c>
      <c r="AG33" s="112"/>
      <c r="AH33" s="113"/>
      <c r="AI33" s="114"/>
      <c r="AJ33" s="82"/>
      <c r="AK33" s="169">
        <v>31</v>
      </c>
      <c r="AL33" s="170" t="s">
        <v>92</v>
      </c>
      <c r="AM33" s="171"/>
      <c r="AN33" s="172" t="s">
        <v>88</v>
      </c>
      <c r="AO33" s="112"/>
      <c r="AP33" s="113"/>
      <c r="AQ33" s="114"/>
      <c r="AR33" s="82"/>
      <c r="AS33" s="166">
        <v>31</v>
      </c>
      <c r="AT33" s="173" t="s">
        <v>94</v>
      </c>
      <c r="AU33" s="224" t="s">
        <v>194</v>
      </c>
      <c r="AV33" s="174"/>
    </row>
    <row r="34" spans="1:49" x14ac:dyDescent="0.25">
      <c r="A34" s="192"/>
      <c r="B34" s="192"/>
      <c r="C34" s="192"/>
      <c r="D34" s="193">
        <v>17</v>
      </c>
      <c r="E34" s="192"/>
      <c r="F34" s="192"/>
      <c r="G34" s="192"/>
      <c r="H34" s="192">
        <v>21</v>
      </c>
      <c r="I34" s="192"/>
      <c r="J34" s="192"/>
      <c r="K34" s="192"/>
      <c r="L34" s="192">
        <v>18</v>
      </c>
      <c r="M34" s="192"/>
      <c r="N34" s="192"/>
      <c r="O34" s="192"/>
      <c r="P34" s="192">
        <v>21</v>
      </c>
      <c r="Q34" s="192"/>
      <c r="R34" s="192"/>
      <c r="S34" s="192"/>
      <c r="T34" s="192">
        <v>15</v>
      </c>
      <c r="U34" s="192"/>
      <c r="V34" s="192"/>
      <c r="W34" s="192"/>
      <c r="X34" s="192">
        <v>20</v>
      </c>
      <c r="Y34" s="192"/>
      <c r="Z34" s="192"/>
      <c r="AA34" s="192"/>
      <c r="AB34" s="192">
        <v>15</v>
      </c>
      <c r="AC34" s="192"/>
      <c r="AD34" s="192"/>
      <c r="AE34" s="192"/>
      <c r="AF34" s="192">
        <v>20</v>
      </c>
      <c r="AG34" s="192"/>
      <c r="AH34" s="192"/>
      <c r="AI34" s="192"/>
      <c r="AJ34" s="192">
        <v>16</v>
      </c>
      <c r="AK34" s="192"/>
      <c r="AL34" s="192"/>
      <c r="AM34" s="192"/>
      <c r="AN34" s="192">
        <v>20</v>
      </c>
      <c r="AO34" s="192"/>
      <c r="AP34" s="192"/>
      <c r="AQ34" s="192"/>
      <c r="AR34" s="192">
        <v>17</v>
      </c>
      <c r="AS34" s="192"/>
      <c r="AT34" s="192"/>
      <c r="AU34" s="192"/>
      <c r="AV34" s="192"/>
      <c r="AW34" s="192">
        <f>SUM(D34:AV34)</f>
        <v>200</v>
      </c>
    </row>
    <row r="35" spans="1:49" x14ac:dyDescent="0.25">
      <c r="S35" s="228" t="s">
        <v>259</v>
      </c>
      <c r="T35" s="228"/>
      <c r="U35" s="228"/>
      <c r="V35" s="228"/>
      <c r="W35" s="228" t="s">
        <v>260</v>
      </c>
      <c r="X35" s="228"/>
      <c r="Y35" s="228"/>
      <c r="Z35" s="228"/>
      <c r="AA35" s="228" t="s">
        <v>261</v>
      </c>
      <c r="AB35" s="228"/>
      <c r="AC35" s="228"/>
      <c r="AD35" s="228"/>
      <c r="AE35" s="228" t="s">
        <v>262</v>
      </c>
      <c r="AF35" s="228"/>
      <c r="AG35" s="228"/>
      <c r="AH35" s="228"/>
      <c r="AI35" s="228" t="s">
        <v>263</v>
      </c>
      <c r="AJ35" s="228"/>
      <c r="AK35" s="228"/>
      <c r="AL35" s="228"/>
      <c r="AM35" s="228"/>
      <c r="AN35" s="228"/>
      <c r="AO35" s="228"/>
      <c r="AP35" s="228"/>
      <c r="AQ35" s="228"/>
      <c r="AR35" s="228"/>
      <c r="AS35" s="228"/>
      <c r="AT35" s="228"/>
      <c r="AU35" s="228"/>
      <c r="AV35" s="228"/>
      <c r="AW35" s="228"/>
    </row>
  </sheetData>
  <mergeCells count="1">
    <mergeCell ref="AM20:AN20"/>
  </mergeCells>
  <pageMargins left="0.70866141732283472" right="0.70866141732283472" top="0.74803149606299213" bottom="0.74803149606299213" header="0.31496062992125984" footer="0.31496062992125984"/>
  <pageSetup paperSize="9" scale="30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42015-AB50-430A-AFC9-EA7B098F25E1}">
  <sheetPr>
    <pageSetUpPr fitToPage="1"/>
  </sheetPr>
  <dimension ref="A1:Y34"/>
  <sheetViews>
    <sheetView workbookViewId="0">
      <selection activeCell="O23" sqref="O23"/>
    </sheetView>
  </sheetViews>
  <sheetFormatPr defaultColWidth="11" defaultRowHeight="15.75" x14ac:dyDescent="0.25"/>
  <cols>
    <col min="1" max="2" width="3.625" customWidth="1"/>
    <col min="3" max="3" width="24.375" customWidth="1"/>
    <col min="4" max="6" width="3.625" customWidth="1"/>
    <col min="7" max="7" width="23" customWidth="1"/>
    <col min="8" max="10" width="3.625" customWidth="1"/>
    <col min="11" max="11" width="21.875" customWidth="1"/>
    <col min="12" max="12" width="5.75" customWidth="1"/>
    <col min="13" max="14" width="3.625" customWidth="1"/>
    <col min="15" max="15" width="27.625" customWidth="1"/>
    <col min="16" max="18" width="3.625" customWidth="1"/>
    <col min="19" max="19" width="18.875" customWidth="1"/>
    <col min="20" max="22" width="3.625" customWidth="1"/>
    <col min="23" max="23" width="18.875" customWidth="1"/>
    <col min="24" max="24" width="3.625" customWidth="1"/>
  </cols>
  <sheetData>
    <row r="1" spans="1:24" ht="30" x14ac:dyDescent="0.4">
      <c r="A1" s="302" t="s">
        <v>264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  <c r="V1" s="303"/>
      <c r="W1" s="303"/>
      <c r="X1" s="304"/>
    </row>
    <row r="2" spans="1:24" ht="18" x14ac:dyDescent="0.25">
      <c r="A2" s="180" t="s">
        <v>46</v>
      </c>
      <c r="B2" s="181"/>
      <c r="C2" s="182"/>
      <c r="D2" s="183"/>
      <c r="E2" s="180" t="s">
        <v>47</v>
      </c>
      <c r="F2" s="181"/>
      <c r="G2" s="182"/>
      <c r="H2" s="183"/>
      <c r="I2" s="184" t="s">
        <v>48</v>
      </c>
      <c r="J2" s="181"/>
      <c r="K2" s="182"/>
      <c r="L2" s="183"/>
      <c r="M2" s="180" t="s">
        <v>49</v>
      </c>
      <c r="N2" s="181"/>
      <c r="O2" s="182"/>
      <c r="P2" s="183"/>
      <c r="Q2" s="180" t="s">
        <v>50</v>
      </c>
      <c r="R2" s="181"/>
      <c r="S2" s="182"/>
      <c r="T2" s="183"/>
      <c r="U2" s="180" t="s">
        <v>51</v>
      </c>
      <c r="V2" s="181"/>
      <c r="W2" s="182"/>
      <c r="X2" s="183"/>
    </row>
    <row r="3" spans="1:24" x14ac:dyDescent="0.25">
      <c r="A3" s="147">
        <v>1</v>
      </c>
      <c r="B3" s="152" t="s">
        <v>94</v>
      </c>
      <c r="C3" s="153" t="s">
        <v>69</v>
      </c>
      <c r="D3" s="156">
        <v>31.285714285714285</v>
      </c>
      <c r="E3" s="129">
        <v>1</v>
      </c>
      <c r="F3" s="130" t="s">
        <v>97</v>
      </c>
      <c r="G3" s="131"/>
      <c r="H3" s="136" t="s">
        <v>88</v>
      </c>
      <c r="I3" s="125">
        <v>1</v>
      </c>
      <c r="J3" s="126" t="s">
        <v>95</v>
      </c>
      <c r="K3" s="221" t="s">
        <v>220</v>
      </c>
      <c r="L3" s="128" t="s">
        <v>88</v>
      </c>
      <c r="M3" s="125"/>
      <c r="N3" s="126" t="s">
        <v>96</v>
      </c>
      <c r="O3" s="178" t="s">
        <v>172</v>
      </c>
      <c r="P3" s="128" t="s">
        <v>88</v>
      </c>
      <c r="Q3" s="129">
        <v>1</v>
      </c>
      <c r="R3" s="130" t="s">
        <v>97</v>
      </c>
      <c r="S3" s="131"/>
      <c r="T3" s="132" t="s">
        <v>88</v>
      </c>
      <c r="U3" s="147">
        <v>1</v>
      </c>
      <c r="V3" s="157" t="s">
        <v>91</v>
      </c>
      <c r="W3" s="158" t="s">
        <v>87</v>
      </c>
      <c r="X3" s="159"/>
    </row>
    <row r="4" spans="1:24" x14ac:dyDescent="0.25">
      <c r="A4" s="147">
        <v>2</v>
      </c>
      <c r="B4" s="152" t="s">
        <v>96</v>
      </c>
      <c r="C4" s="153" t="s">
        <v>69</v>
      </c>
      <c r="D4" s="156" t="s">
        <v>88</v>
      </c>
      <c r="E4" s="125">
        <v>2</v>
      </c>
      <c r="F4" s="126" t="s">
        <v>93</v>
      </c>
      <c r="G4" s="178" t="s">
        <v>205</v>
      </c>
      <c r="H4" s="135">
        <v>36</v>
      </c>
      <c r="I4" s="125">
        <v>2</v>
      </c>
      <c r="J4" s="126" t="s">
        <v>91</v>
      </c>
      <c r="K4" s="127"/>
      <c r="L4" s="128"/>
      <c r="M4" s="129">
        <v>2</v>
      </c>
      <c r="N4" s="130" t="s">
        <v>92</v>
      </c>
      <c r="O4" s="131"/>
      <c r="P4" s="132" t="s">
        <v>88</v>
      </c>
      <c r="Q4" s="125">
        <v>2</v>
      </c>
      <c r="R4" s="126" t="s">
        <v>93</v>
      </c>
      <c r="S4" s="127" t="s">
        <v>240</v>
      </c>
      <c r="T4" s="128">
        <v>49</v>
      </c>
      <c r="U4" s="147">
        <v>2</v>
      </c>
      <c r="V4" s="148" t="s">
        <v>94</v>
      </c>
      <c r="W4" s="149" t="s">
        <v>275</v>
      </c>
      <c r="X4" s="150"/>
    </row>
    <row r="5" spans="1:24" ht="39" x14ac:dyDescent="0.25">
      <c r="A5" s="129">
        <v>3</v>
      </c>
      <c r="B5" s="130" t="s">
        <v>92</v>
      </c>
      <c r="C5" s="131"/>
      <c r="D5" s="144" t="s">
        <v>88</v>
      </c>
      <c r="E5" s="125">
        <v>3</v>
      </c>
      <c r="F5" s="126" t="s">
        <v>95</v>
      </c>
      <c r="G5" s="218" t="s">
        <v>239</v>
      </c>
      <c r="H5" s="135" t="s">
        <v>88</v>
      </c>
      <c r="I5" s="125">
        <v>3</v>
      </c>
      <c r="J5" s="126" t="s">
        <v>94</v>
      </c>
      <c r="K5" s="127"/>
      <c r="L5" s="128"/>
      <c r="M5" s="129">
        <v>3</v>
      </c>
      <c r="N5" s="130" t="s">
        <v>97</v>
      </c>
      <c r="O5" s="131"/>
      <c r="P5" s="132" t="s">
        <v>88</v>
      </c>
      <c r="Q5" s="125">
        <v>3</v>
      </c>
      <c r="R5" s="126" t="s">
        <v>95</v>
      </c>
      <c r="S5" s="127" t="s">
        <v>222</v>
      </c>
      <c r="T5" s="128" t="s">
        <v>88</v>
      </c>
      <c r="U5" s="147">
        <v>3</v>
      </c>
      <c r="V5" s="148" t="s">
        <v>96</v>
      </c>
      <c r="W5" s="149" t="s">
        <v>275</v>
      </c>
      <c r="X5" s="150" t="s">
        <v>88</v>
      </c>
    </row>
    <row r="6" spans="1:24" ht="26.25" x14ac:dyDescent="0.25">
      <c r="A6" s="129">
        <v>4</v>
      </c>
      <c r="B6" s="130" t="s">
        <v>97</v>
      </c>
      <c r="C6" s="131"/>
      <c r="D6" s="144" t="s">
        <v>88</v>
      </c>
      <c r="E6" s="125">
        <v>4</v>
      </c>
      <c r="F6" s="126" t="s">
        <v>91</v>
      </c>
      <c r="G6" s="218" t="s">
        <v>221</v>
      </c>
      <c r="H6" s="135"/>
      <c r="I6" s="125">
        <v>4</v>
      </c>
      <c r="J6" s="126" t="s">
        <v>96</v>
      </c>
      <c r="K6" s="127"/>
      <c r="L6" s="128" t="s">
        <v>88</v>
      </c>
      <c r="M6" s="125">
        <v>4</v>
      </c>
      <c r="N6" s="126" t="s">
        <v>93</v>
      </c>
      <c r="O6" s="127"/>
      <c r="P6" s="128">
        <v>45</v>
      </c>
      <c r="Q6" s="125">
        <v>4</v>
      </c>
      <c r="R6" s="126" t="s">
        <v>91</v>
      </c>
      <c r="S6" s="127"/>
      <c r="T6" s="128"/>
      <c r="U6" s="129">
        <v>4</v>
      </c>
      <c r="V6" s="130" t="s">
        <v>92</v>
      </c>
      <c r="W6" s="131"/>
      <c r="X6" s="132" t="s">
        <v>88</v>
      </c>
    </row>
    <row r="7" spans="1:24" ht="39" x14ac:dyDescent="0.25">
      <c r="A7" s="176">
        <v>5</v>
      </c>
      <c r="B7" s="177" t="s">
        <v>93</v>
      </c>
      <c r="C7" s="216" t="s">
        <v>160</v>
      </c>
      <c r="D7" s="175">
        <v>32</v>
      </c>
      <c r="E7" s="125">
        <v>5</v>
      </c>
      <c r="F7" s="126" t="s">
        <v>94</v>
      </c>
      <c r="G7" s="178" t="s">
        <v>284</v>
      </c>
      <c r="H7" s="135"/>
      <c r="I7" s="129">
        <v>5</v>
      </c>
      <c r="J7" s="130" t="s">
        <v>92</v>
      </c>
      <c r="K7" s="131" t="s">
        <v>171</v>
      </c>
      <c r="L7" s="132" t="s">
        <v>88</v>
      </c>
      <c r="M7" s="125">
        <v>5</v>
      </c>
      <c r="N7" s="126" t="s">
        <v>95</v>
      </c>
      <c r="O7" s="226" t="s">
        <v>287</v>
      </c>
      <c r="P7" s="128" t="s">
        <v>88</v>
      </c>
      <c r="Q7" s="125">
        <v>5</v>
      </c>
      <c r="R7" s="126" t="s">
        <v>94</v>
      </c>
      <c r="S7" s="127"/>
      <c r="T7" s="128"/>
      <c r="U7" s="129">
        <v>5</v>
      </c>
      <c r="V7" s="130" t="s">
        <v>97</v>
      </c>
      <c r="W7" s="131"/>
      <c r="X7" s="132" t="s">
        <v>88</v>
      </c>
    </row>
    <row r="8" spans="1:24" x14ac:dyDescent="0.25">
      <c r="A8" s="176">
        <v>6</v>
      </c>
      <c r="B8" s="177" t="s">
        <v>95</v>
      </c>
      <c r="C8" s="216" t="s">
        <v>160</v>
      </c>
      <c r="D8" s="175" t="s">
        <v>88</v>
      </c>
      <c r="E8" s="125">
        <v>6</v>
      </c>
      <c r="F8" s="126" t="s">
        <v>96</v>
      </c>
      <c r="G8" s="178" t="s">
        <v>284</v>
      </c>
      <c r="H8" s="135" t="s">
        <v>88</v>
      </c>
      <c r="I8" s="129">
        <v>6</v>
      </c>
      <c r="J8" s="130" t="s">
        <v>97</v>
      </c>
      <c r="K8" s="131"/>
      <c r="L8" s="132" t="s">
        <v>88</v>
      </c>
      <c r="M8" s="125">
        <v>6</v>
      </c>
      <c r="N8" s="126" t="s">
        <v>91</v>
      </c>
      <c r="O8" s="127"/>
      <c r="P8" s="128"/>
      <c r="Q8" s="125">
        <v>6</v>
      </c>
      <c r="R8" s="126" t="s">
        <v>96</v>
      </c>
      <c r="S8" s="127"/>
      <c r="T8" s="128" t="s">
        <v>88</v>
      </c>
      <c r="U8" s="125">
        <v>6</v>
      </c>
      <c r="V8" s="126" t="s">
        <v>93</v>
      </c>
      <c r="W8" s="178" t="s">
        <v>200</v>
      </c>
      <c r="X8" s="128">
        <v>2</v>
      </c>
    </row>
    <row r="9" spans="1:24" x14ac:dyDescent="0.25">
      <c r="A9" s="176">
        <v>7</v>
      </c>
      <c r="B9" s="177" t="s">
        <v>91</v>
      </c>
      <c r="C9" s="216" t="s">
        <v>160</v>
      </c>
      <c r="D9" s="175"/>
      <c r="E9" s="129">
        <v>7</v>
      </c>
      <c r="F9" s="130" t="s">
        <v>92</v>
      </c>
      <c r="G9" s="131"/>
      <c r="H9" s="136" t="s">
        <v>88</v>
      </c>
      <c r="I9" s="125">
        <v>7</v>
      </c>
      <c r="J9" s="126" t="s">
        <v>93</v>
      </c>
      <c r="K9" s="127"/>
      <c r="L9" s="128">
        <v>41</v>
      </c>
      <c r="M9" s="125">
        <v>7</v>
      </c>
      <c r="N9" s="126" t="s">
        <v>94</v>
      </c>
      <c r="O9" s="127"/>
      <c r="P9" s="128"/>
      <c r="Q9" s="129">
        <v>7</v>
      </c>
      <c r="R9" s="130" t="s">
        <v>92</v>
      </c>
      <c r="S9" s="131"/>
      <c r="T9" s="132" t="s">
        <v>88</v>
      </c>
      <c r="U9" s="125">
        <v>7</v>
      </c>
      <c r="V9" s="126" t="s">
        <v>95</v>
      </c>
      <c r="W9" s="178" t="s">
        <v>200</v>
      </c>
      <c r="X9" s="128" t="s">
        <v>88</v>
      </c>
    </row>
    <row r="10" spans="1:24" ht="26.25" x14ac:dyDescent="0.25">
      <c r="A10" s="125">
        <v>8</v>
      </c>
      <c r="B10" s="126" t="s">
        <v>94</v>
      </c>
      <c r="C10" s="127" t="s">
        <v>161</v>
      </c>
      <c r="D10" s="138"/>
      <c r="E10" s="129">
        <v>8</v>
      </c>
      <c r="F10" s="130" t="s">
        <v>97</v>
      </c>
      <c r="G10" s="131"/>
      <c r="H10" s="136" t="s">
        <v>88</v>
      </c>
      <c r="I10" s="125">
        <v>8</v>
      </c>
      <c r="J10" s="126" t="s">
        <v>95</v>
      </c>
      <c r="K10" s="226" t="s">
        <v>235</v>
      </c>
      <c r="L10" s="128" t="s">
        <v>88</v>
      </c>
      <c r="M10" s="125">
        <v>8</v>
      </c>
      <c r="N10" s="126" t="s">
        <v>96</v>
      </c>
      <c r="O10" s="127"/>
      <c r="P10" s="128" t="s">
        <v>88</v>
      </c>
      <c r="Q10" s="129">
        <v>8</v>
      </c>
      <c r="R10" s="130" t="s">
        <v>97</v>
      </c>
      <c r="S10" s="131"/>
      <c r="T10" s="132" t="s">
        <v>88</v>
      </c>
      <c r="U10" s="125">
        <v>8</v>
      </c>
      <c r="V10" s="126" t="s">
        <v>91</v>
      </c>
      <c r="W10" s="127"/>
      <c r="X10" s="128"/>
    </row>
    <row r="11" spans="1:24" x14ac:dyDescent="0.25">
      <c r="A11" s="125">
        <v>9</v>
      </c>
      <c r="B11" s="126" t="s">
        <v>96</v>
      </c>
      <c r="C11" s="127" t="s">
        <v>162</v>
      </c>
      <c r="D11" s="138" t="s">
        <v>88</v>
      </c>
      <c r="E11" s="125">
        <v>9</v>
      </c>
      <c r="F11" s="126" t="s">
        <v>93</v>
      </c>
      <c r="G11" s="127"/>
      <c r="H11" s="135">
        <v>37</v>
      </c>
      <c r="I11" s="125">
        <v>9</v>
      </c>
      <c r="J11" s="126" t="s">
        <v>91</v>
      </c>
      <c r="K11" s="127"/>
      <c r="L11" s="128"/>
      <c r="M11" s="129">
        <v>9</v>
      </c>
      <c r="N11" s="130" t="s">
        <v>92</v>
      </c>
      <c r="O11" s="131"/>
      <c r="P11" s="132" t="s">
        <v>88</v>
      </c>
      <c r="Q11" s="125">
        <v>9</v>
      </c>
      <c r="R11" s="126" t="s">
        <v>93</v>
      </c>
      <c r="S11" s="127"/>
      <c r="T11" s="128">
        <v>50</v>
      </c>
      <c r="U11" s="125">
        <v>9</v>
      </c>
      <c r="V11" s="126" t="s">
        <v>94</v>
      </c>
      <c r="W11" s="178" t="s">
        <v>200</v>
      </c>
      <c r="X11" s="128"/>
    </row>
    <row r="12" spans="1:24" x14ac:dyDescent="0.25">
      <c r="A12" s="129">
        <v>10</v>
      </c>
      <c r="B12" s="130" t="s">
        <v>92</v>
      </c>
      <c r="C12" s="131"/>
      <c r="D12" s="144" t="s">
        <v>88</v>
      </c>
      <c r="E12" s="125">
        <v>10</v>
      </c>
      <c r="F12" s="126" t="s">
        <v>95</v>
      </c>
      <c r="G12" s="127"/>
      <c r="H12" s="135" t="s">
        <v>88</v>
      </c>
      <c r="I12" s="125">
        <v>10</v>
      </c>
      <c r="J12" s="126" t="s">
        <v>94</v>
      </c>
      <c r="K12" s="127"/>
      <c r="L12" s="128"/>
      <c r="M12" s="129">
        <v>10</v>
      </c>
      <c r="N12" s="130" t="s">
        <v>97</v>
      </c>
      <c r="O12" s="131"/>
      <c r="P12" s="132" t="s">
        <v>88</v>
      </c>
      <c r="Q12" s="125">
        <v>10</v>
      </c>
      <c r="R12" s="126" t="s">
        <v>95</v>
      </c>
      <c r="S12" s="127" t="s">
        <v>245</v>
      </c>
      <c r="T12" s="128" t="s">
        <v>88</v>
      </c>
      <c r="U12" s="125">
        <v>10</v>
      </c>
      <c r="V12" s="126" t="s">
        <v>96</v>
      </c>
      <c r="W12" s="178" t="s">
        <v>200</v>
      </c>
      <c r="X12" s="128" t="s">
        <v>88</v>
      </c>
    </row>
    <row r="13" spans="1:24" ht="26.25" x14ac:dyDescent="0.25">
      <c r="A13" s="129">
        <v>11</v>
      </c>
      <c r="B13" s="130" t="s">
        <v>97</v>
      </c>
      <c r="C13" s="131"/>
      <c r="D13" s="144" t="s">
        <v>88</v>
      </c>
      <c r="E13" s="125">
        <v>11</v>
      </c>
      <c r="F13" s="126" t="s">
        <v>91</v>
      </c>
      <c r="G13" s="127"/>
      <c r="H13" s="135"/>
      <c r="I13" s="125">
        <v>11</v>
      </c>
      <c r="J13" s="126" t="s">
        <v>96</v>
      </c>
      <c r="K13" s="218" t="s">
        <v>215</v>
      </c>
      <c r="L13" s="128" t="s">
        <v>88</v>
      </c>
      <c r="M13" s="125">
        <v>11</v>
      </c>
      <c r="N13" s="126" t="s">
        <v>93</v>
      </c>
      <c r="O13" s="127" t="s">
        <v>224</v>
      </c>
      <c r="P13" s="128">
        <v>46</v>
      </c>
      <c r="Q13" s="125">
        <v>11</v>
      </c>
      <c r="R13" s="126" t="s">
        <v>91</v>
      </c>
      <c r="S13" s="127"/>
      <c r="T13" s="128"/>
      <c r="U13" s="129">
        <v>11</v>
      </c>
      <c r="V13" s="130" t="s">
        <v>92</v>
      </c>
      <c r="W13" s="131"/>
      <c r="X13" s="132" t="s">
        <v>88</v>
      </c>
    </row>
    <row r="14" spans="1:24" x14ac:dyDescent="0.25">
      <c r="A14" s="125">
        <v>12</v>
      </c>
      <c r="B14" s="126" t="s">
        <v>93</v>
      </c>
      <c r="C14" s="127"/>
      <c r="D14" s="140">
        <v>33</v>
      </c>
      <c r="E14" s="125">
        <v>12</v>
      </c>
      <c r="F14" s="126" t="s">
        <v>94</v>
      </c>
      <c r="G14" s="127"/>
      <c r="H14" s="135"/>
      <c r="I14" s="129">
        <v>12</v>
      </c>
      <c r="J14" s="130" t="s">
        <v>92</v>
      </c>
      <c r="K14" s="131"/>
      <c r="L14" s="132" t="s">
        <v>88</v>
      </c>
      <c r="M14" s="125">
        <v>12</v>
      </c>
      <c r="N14" s="126" t="s">
        <v>95</v>
      </c>
      <c r="O14" s="127"/>
      <c r="P14" s="128" t="s">
        <v>88</v>
      </c>
      <c r="Q14" s="125">
        <v>12</v>
      </c>
      <c r="R14" s="126" t="s">
        <v>94</v>
      </c>
      <c r="S14" s="127"/>
      <c r="T14" s="128"/>
      <c r="U14" s="129">
        <v>12</v>
      </c>
      <c r="V14" s="130" t="s">
        <v>97</v>
      </c>
      <c r="W14" s="131"/>
      <c r="X14" s="132" t="s">
        <v>88</v>
      </c>
    </row>
    <row r="15" spans="1:24" x14ac:dyDescent="0.25">
      <c r="A15" s="125">
        <v>13</v>
      </c>
      <c r="B15" s="126" t="s">
        <v>95</v>
      </c>
      <c r="C15" s="127" t="s">
        <v>230</v>
      </c>
      <c r="D15" s="140" t="s">
        <v>88</v>
      </c>
      <c r="E15" s="125">
        <v>13</v>
      </c>
      <c r="F15" s="126" t="s">
        <v>96</v>
      </c>
      <c r="G15" s="127"/>
      <c r="H15" s="135" t="s">
        <v>88</v>
      </c>
      <c r="I15" s="129">
        <v>13</v>
      </c>
      <c r="J15" s="130" t="s">
        <v>97</v>
      </c>
      <c r="K15" s="131"/>
      <c r="L15" s="132" t="s">
        <v>88</v>
      </c>
      <c r="M15" s="125">
        <v>13</v>
      </c>
      <c r="N15" s="126" t="s">
        <v>91</v>
      </c>
      <c r="O15" s="127"/>
      <c r="P15" s="128"/>
      <c r="Q15" s="125">
        <v>13</v>
      </c>
      <c r="R15" s="126" t="s">
        <v>96</v>
      </c>
      <c r="S15" s="127"/>
      <c r="T15" s="128" t="s">
        <v>88</v>
      </c>
      <c r="U15" s="125">
        <v>13</v>
      </c>
      <c r="V15" s="126" t="s">
        <v>93</v>
      </c>
      <c r="W15" s="178" t="s">
        <v>200</v>
      </c>
      <c r="X15" s="128">
        <v>3</v>
      </c>
    </row>
    <row r="16" spans="1:24" x14ac:dyDescent="0.25">
      <c r="A16" s="125">
        <v>14</v>
      </c>
      <c r="B16" s="126" t="s">
        <v>91</v>
      </c>
      <c r="C16" s="127" t="s">
        <v>283</v>
      </c>
      <c r="D16" s="140"/>
      <c r="E16" s="129">
        <v>14</v>
      </c>
      <c r="F16" s="130" t="s">
        <v>92</v>
      </c>
      <c r="G16" s="131"/>
      <c r="H16" s="136" t="s">
        <v>88</v>
      </c>
      <c r="I16" s="147">
        <v>14</v>
      </c>
      <c r="J16" s="152" t="s">
        <v>93</v>
      </c>
      <c r="K16" s="153" t="s">
        <v>85</v>
      </c>
      <c r="L16" s="150">
        <v>42</v>
      </c>
      <c r="M16" s="125">
        <v>14</v>
      </c>
      <c r="N16" s="126" t="s">
        <v>94</v>
      </c>
      <c r="O16" s="127"/>
      <c r="P16" s="128"/>
      <c r="Q16" s="129">
        <v>14</v>
      </c>
      <c r="R16" s="130" t="s">
        <v>92</v>
      </c>
      <c r="S16" s="131"/>
      <c r="T16" s="132" t="s">
        <v>88</v>
      </c>
      <c r="U16" s="125">
        <v>14</v>
      </c>
      <c r="V16" s="126" t="s">
        <v>95</v>
      </c>
      <c r="W16" s="178" t="s">
        <v>200</v>
      </c>
      <c r="X16" s="128" t="s">
        <v>88</v>
      </c>
    </row>
    <row r="17" spans="1:24" x14ac:dyDescent="0.25">
      <c r="A17" s="125">
        <v>15</v>
      </c>
      <c r="B17" s="126" t="s">
        <v>94</v>
      </c>
      <c r="C17" s="127"/>
      <c r="D17" s="138"/>
      <c r="E17" s="129">
        <v>15</v>
      </c>
      <c r="F17" s="130" t="s">
        <v>97</v>
      </c>
      <c r="G17" s="131"/>
      <c r="H17" s="136" t="s">
        <v>88</v>
      </c>
      <c r="I17" s="147">
        <v>15</v>
      </c>
      <c r="J17" s="152" t="s">
        <v>95</v>
      </c>
      <c r="K17" s="153" t="s">
        <v>85</v>
      </c>
      <c r="L17" s="150" t="s">
        <v>88</v>
      </c>
      <c r="M17" s="125">
        <v>15</v>
      </c>
      <c r="N17" s="126" t="s">
        <v>96</v>
      </c>
      <c r="O17" s="127"/>
      <c r="P17" s="128" t="s">
        <v>88</v>
      </c>
      <c r="Q17" s="129">
        <v>15</v>
      </c>
      <c r="R17" s="130" t="s">
        <v>97</v>
      </c>
      <c r="S17" s="131"/>
      <c r="T17" s="132" t="s">
        <v>88</v>
      </c>
      <c r="U17" s="125">
        <v>15</v>
      </c>
      <c r="V17" s="126" t="s">
        <v>91</v>
      </c>
      <c r="W17" s="127"/>
      <c r="X17" s="128"/>
    </row>
    <row r="18" spans="1:24" x14ac:dyDescent="0.25">
      <c r="A18" s="125">
        <v>16</v>
      </c>
      <c r="B18" s="126" t="s">
        <v>96</v>
      </c>
      <c r="C18" s="127"/>
      <c r="D18" s="138" t="s">
        <v>88</v>
      </c>
      <c r="E18" s="125">
        <v>16</v>
      </c>
      <c r="F18" s="126" t="s">
        <v>93</v>
      </c>
      <c r="G18" s="178" t="s">
        <v>182</v>
      </c>
      <c r="H18" s="135">
        <v>38</v>
      </c>
      <c r="I18" s="147">
        <v>16</v>
      </c>
      <c r="J18" s="152" t="s">
        <v>91</v>
      </c>
      <c r="K18" s="153" t="s">
        <v>85</v>
      </c>
      <c r="L18" s="150"/>
      <c r="M18" s="129">
        <v>16</v>
      </c>
      <c r="N18" s="130" t="s">
        <v>92</v>
      </c>
      <c r="O18" s="131"/>
      <c r="P18" s="132" t="s">
        <v>88</v>
      </c>
      <c r="Q18" s="125">
        <v>16</v>
      </c>
      <c r="R18" s="126" t="s">
        <v>93</v>
      </c>
      <c r="S18" s="127"/>
      <c r="T18" s="128">
        <v>51</v>
      </c>
      <c r="U18" s="125">
        <v>16</v>
      </c>
      <c r="V18" s="126" t="s">
        <v>94</v>
      </c>
      <c r="W18" s="178" t="s">
        <v>200</v>
      </c>
      <c r="X18" s="128"/>
    </row>
    <row r="19" spans="1:24" x14ac:dyDescent="0.25">
      <c r="A19" s="129">
        <v>17</v>
      </c>
      <c r="B19" s="130" t="s">
        <v>92</v>
      </c>
      <c r="C19" s="131"/>
      <c r="D19" s="144" t="s">
        <v>88</v>
      </c>
      <c r="E19" s="125">
        <v>17</v>
      </c>
      <c r="F19" s="126" t="s">
        <v>95</v>
      </c>
      <c r="G19" s="178" t="s">
        <v>182</v>
      </c>
      <c r="H19" s="135" t="s">
        <v>88</v>
      </c>
      <c r="I19" s="147">
        <v>17</v>
      </c>
      <c r="J19" s="152" t="s">
        <v>94</v>
      </c>
      <c r="K19" s="153" t="s">
        <v>85</v>
      </c>
      <c r="L19" s="150"/>
      <c r="M19" s="129">
        <v>17</v>
      </c>
      <c r="N19" s="130" t="s">
        <v>97</v>
      </c>
      <c r="O19" s="131"/>
      <c r="P19" s="132" t="s">
        <v>88</v>
      </c>
      <c r="Q19" s="125">
        <v>17</v>
      </c>
      <c r="R19" s="126" t="s">
        <v>95</v>
      </c>
      <c r="S19" s="127"/>
      <c r="T19" s="128" t="s">
        <v>88</v>
      </c>
      <c r="U19" s="125">
        <v>17</v>
      </c>
      <c r="V19" s="126" t="s">
        <v>96</v>
      </c>
      <c r="W19" s="178" t="s">
        <v>200</v>
      </c>
      <c r="X19" s="128" t="s">
        <v>88</v>
      </c>
    </row>
    <row r="20" spans="1:24" ht="26.25" x14ac:dyDescent="0.25">
      <c r="A20" s="129">
        <v>18</v>
      </c>
      <c r="B20" s="130" t="s">
        <v>97</v>
      </c>
      <c r="C20" s="131"/>
      <c r="D20" s="144" t="s">
        <v>88</v>
      </c>
      <c r="E20" s="125">
        <v>18</v>
      </c>
      <c r="F20" s="126" t="s">
        <v>91</v>
      </c>
      <c r="G20" s="127"/>
      <c r="H20" s="135"/>
      <c r="I20" s="147">
        <v>18</v>
      </c>
      <c r="J20" s="152" t="s">
        <v>96</v>
      </c>
      <c r="K20" s="153" t="s">
        <v>85</v>
      </c>
      <c r="L20" s="150" t="s">
        <v>88</v>
      </c>
      <c r="M20" s="125">
        <v>18</v>
      </c>
      <c r="N20" s="126" t="s">
        <v>93</v>
      </c>
      <c r="O20" s="226" t="s">
        <v>248</v>
      </c>
      <c r="P20" s="128">
        <v>47</v>
      </c>
      <c r="Q20" s="125">
        <v>18</v>
      </c>
      <c r="R20" s="126" t="s">
        <v>91</v>
      </c>
      <c r="S20" s="127"/>
      <c r="T20" s="128"/>
      <c r="U20" s="129">
        <v>18</v>
      </c>
      <c r="V20" s="130" t="s">
        <v>92</v>
      </c>
      <c r="W20" s="131"/>
      <c r="X20" s="132" t="s">
        <v>88</v>
      </c>
    </row>
    <row r="21" spans="1:24" ht="26.25" x14ac:dyDescent="0.25">
      <c r="A21" s="125">
        <v>19</v>
      </c>
      <c r="B21" s="126" t="s">
        <v>93</v>
      </c>
      <c r="C21" s="218" t="s">
        <v>204</v>
      </c>
      <c r="D21" s="140">
        <v>34</v>
      </c>
      <c r="E21" s="125">
        <v>19</v>
      </c>
      <c r="F21" s="126" t="s">
        <v>94</v>
      </c>
      <c r="G21" s="127" t="s">
        <v>229</v>
      </c>
      <c r="H21" s="135"/>
      <c r="I21" s="129">
        <v>19</v>
      </c>
      <c r="J21" s="130" t="s">
        <v>92</v>
      </c>
      <c r="K21" s="131"/>
      <c r="L21" s="132" t="s">
        <v>88</v>
      </c>
      <c r="M21" s="125">
        <v>19</v>
      </c>
      <c r="N21" s="126" t="s">
        <v>95</v>
      </c>
      <c r="O21" s="127" t="s">
        <v>226</v>
      </c>
      <c r="P21" s="128" t="s">
        <v>88</v>
      </c>
      <c r="Q21" s="125">
        <v>19</v>
      </c>
      <c r="R21" s="126" t="s">
        <v>94</v>
      </c>
      <c r="S21" s="127"/>
      <c r="T21" s="128"/>
      <c r="U21" s="129">
        <v>19</v>
      </c>
      <c r="V21" s="130" t="s">
        <v>97</v>
      </c>
      <c r="W21" s="131"/>
      <c r="X21" s="132" t="s">
        <v>88</v>
      </c>
    </row>
    <row r="22" spans="1:24" ht="51.75" x14ac:dyDescent="0.25">
      <c r="A22" s="125">
        <v>20</v>
      </c>
      <c r="B22" s="126" t="s">
        <v>95</v>
      </c>
      <c r="C22" s="218" t="s">
        <v>251</v>
      </c>
      <c r="D22" s="140" t="s">
        <v>88</v>
      </c>
      <c r="E22" s="125">
        <v>20</v>
      </c>
      <c r="F22" s="126" t="s">
        <v>96</v>
      </c>
      <c r="G22" s="127"/>
      <c r="H22" s="135" t="s">
        <v>88</v>
      </c>
      <c r="I22" s="129">
        <v>20</v>
      </c>
      <c r="J22" s="130" t="s">
        <v>97</v>
      </c>
      <c r="K22" s="131"/>
      <c r="L22" s="132" t="s">
        <v>88</v>
      </c>
      <c r="M22" s="125">
        <v>20</v>
      </c>
      <c r="N22" s="126" t="s">
        <v>91</v>
      </c>
      <c r="O22" s="127"/>
      <c r="P22" s="128"/>
      <c r="Q22" s="125">
        <v>20</v>
      </c>
      <c r="R22" s="126" t="s">
        <v>96</v>
      </c>
      <c r="S22" s="127"/>
      <c r="T22" s="128" t="s">
        <v>88</v>
      </c>
      <c r="U22" s="125">
        <v>20</v>
      </c>
      <c r="V22" s="126" t="s">
        <v>93</v>
      </c>
      <c r="W22" s="127"/>
      <c r="X22" s="128">
        <v>4</v>
      </c>
    </row>
    <row r="23" spans="1:24" ht="102.75" x14ac:dyDescent="0.25">
      <c r="A23" s="125">
        <v>21</v>
      </c>
      <c r="B23" s="126" t="s">
        <v>91</v>
      </c>
      <c r="C23" s="223" t="s">
        <v>286</v>
      </c>
      <c r="D23" s="140"/>
      <c r="E23" s="129">
        <v>21</v>
      </c>
      <c r="F23" s="130" t="s">
        <v>92</v>
      </c>
      <c r="G23" s="131"/>
      <c r="H23" s="136" t="s">
        <v>88</v>
      </c>
      <c r="I23" s="125">
        <v>21</v>
      </c>
      <c r="J23" s="126" t="s">
        <v>93</v>
      </c>
      <c r="K23" s="127"/>
      <c r="L23" s="128">
        <v>43</v>
      </c>
      <c r="M23" s="125">
        <v>21</v>
      </c>
      <c r="N23" s="126" t="s">
        <v>94</v>
      </c>
      <c r="O23" s="127"/>
      <c r="P23" s="128"/>
      <c r="Q23" s="129">
        <v>21</v>
      </c>
      <c r="R23" s="130" t="s">
        <v>92</v>
      </c>
      <c r="S23" s="131"/>
      <c r="T23" s="132" t="s">
        <v>88</v>
      </c>
      <c r="U23" s="125">
        <v>21</v>
      </c>
      <c r="V23" s="126" t="s">
        <v>95</v>
      </c>
      <c r="W23" s="127"/>
      <c r="X23" s="128" t="s">
        <v>88</v>
      </c>
    </row>
    <row r="24" spans="1:24" ht="51.75" x14ac:dyDescent="0.25">
      <c r="A24" s="125">
        <v>22</v>
      </c>
      <c r="B24" s="126" t="s">
        <v>94</v>
      </c>
      <c r="C24" s="218" t="s">
        <v>237</v>
      </c>
      <c r="D24" s="140"/>
      <c r="E24" s="129">
        <v>22</v>
      </c>
      <c r="F24" s="130" t="s">
        <v>97</v>
      </c>
      <c r="G24" s="131"/>
      <c r="H24" s="136" t="s">
        <v>88</v>
      </c>
      <c r="I24" s="125">
        <v>22</v>
      </c>
      <c r="J24" s="126" t="s">
        <v>95</v>
      </c>
      <c r="K24" s="226" t="s">
        <v>238</v>
      </c>
      <c r="L24" s="128" t="s">
        <v>88</v>
      </c>
      <c r="M24" s="125">
        <v>22</v>
      </c>
      <c r="N24" s="126" t="s">
        <v>96</v>
      </c>
      <c r="O24" s="127" t="s">
        <v>211</v>
      </c>
      <c r="P24" s="128" t="s">
        <v>88</v>
      </c>
      <c r="Q24" s="129">
        <v>22</v>
      </c>
      <c r="R24" s="130" t="s">
        <v>97</v>
      </c>
      <c r="S24" s="131"/>
      <c r="T24" s="132" t="s">
        <v>88</v>
      </c>
      <c r="U24" s="125">
        <v>22</v>
      </c>
      <c r="V24" s="126" t="s">
        <v>91</v>
      </c>
      <c r="W24" s="127"/>
      <c r="X24" s="128"/>
    </row>
    <row r="25" spans="1:24" ht="39" x14ac:dyDescent="0.25">
      <c r="A25" s="125">
        <v>23</v>
      </c>
      <c r="B25" s="126" t="s">
        <v>96</v>
      </c>
      <c r="C25" s="218" t="s">
        <v>204</v>
      </c>
      <c r="D25" s="140" t="s">
        <v>88</v>
      </c>
      <c r="E25" s="125">
        <v>23</v>
      </c>
      <c r="F25" s="126" t="s">
        <v>93</v>
      </c>
      <c r="G25" s="218" t="s">
        <v>184</v>
      </c>
      <c r="H25" s="135">
        <v>39</v>
      </c>
      <c r="I25" s="125">
        <v>23</v>
      </c>
      <c r="J25" s="126" t="s">
        <v>91</v>
      </c>
      <c r="K25" s="127"/>
      <c r="L25" s="128"/>
      <c r="M25" s="129">
        <v>23</v>
      </c>
      <c r="N25" s="130" t="s">
        <v>92</v>
      </c>
      <c r="O25" s="131"/>
      <c r="P25" s="132" t="s">
        <v>88</v>
      </c>
      <c r="Q25" s="147">
        <v>23</v>
      </c>
      <c r="R25" s="148" t="s">
        <v>93</v>
      </c>
      <c r="S25" s="149" t="s">
        <v>275</v>
      </c>
      <c r="T25" s="150">
        <v>52</v>
      </c>
      <c r="U25" s="125">
        <v>23</v>
      </c>
      <c r="V25" s="126" t="s">
        <v>94</v>
      </c>
      <c r="W25" s="127"/>
      <c r="X25" s="128"/>
    </row>
    <row r="26" spans="1:24" ht="39" x14ac:dyDescent="0.25">
      <c r="A26" s="129">
        <v>24</v>
      </c>
      <c r="B26" s="130" t="s">
        <v>92</v>
      </c>
      <c r="C26" s="131"/>
      <c r="D26" s="139" t="s">
        <v>88</v>
      </c>
      <c r="E26" s="125">
        <v>24</v>
      </c>
      <c r="F26" s="126" t="s">
        <v>95</v>
      </c>
      <c r="G26" s="218" t="s">
        <v>184</v>
      </c>
      <c r="H26" s="135" t="s">
        <v>88</v>
      </c>
      <c r="I26" s="125">
        <v>24</v>
      </c>
      <c r="J26" s="126" t="s">
        <v>94</v>
      </c>
      <c r="K26" s="127"/>
      <c r="L26" s="128"/>
      <c r="M26" s="129">
        <v>24</v>
      </c>
      <c r="N26" s="130" t="s">
        <v>97</v>
      </c>
      <c r="O26" s="131"/>
      <c r="P26" s="132" t="s">
        <v>88</v>
      </c>
      <c r="Q26" s="147">
        <v>24</v>
      </c>
      <c r="R26" s="148" t="s">
        <v>95</v>
      </c>
      <c r="S26" s="149" t="s">
        <v>276</v>
      </c>
      <c r="T26" s="150" t="s">
        <v>88</v>
      </c>
      <c r="U26" s="125">
        <v>24</v>
      </c>
      <c r="V26" s="126" t="s">
        <v>96</v>
      </c>
      <c r="W26" s="127"/>
      <c r="X26" s="128" t="s">
        <v>88</v>
      </c>
    </row>
    <row r="27" spans="1:24" ht="39" x14ac:dyDescent="0.25">
      <c r="A27" s="129">
        <v>25</v>
      </c>
      <c r="B27" s="130" t="s">
        <v>97</v>
      </c>
      <c r="C27" s="131"/>
      <c r="D27" s="139" t="s">
        <v>88</v>
      </c>
      <c r="E27" s="125">
        <v>25</v>
      </c>
      <c r="F27" s="126" t="s">
        <v>91</v>
      </c>
      <c r="G27" s="218" t="s">
        <v>184</v>
      </c>
      <c r="H27" s="135"/>
      <c r="I27" s="125">
        <v>25</v>
      </c>
      <c r="J27" s="126" t="s">
        <v>96</v>
      </c>
      <c r="K27" s="127"/>
      <c r="L27" s="128" t="s">
        <v>88</v>
      </c>
      <c r="M27" s="125">
        <v>25</v>
      </c>
      <c r="N27" s="126" t="s">
        <v>93</v>
      </c>
      <c r="O27" s="226" t="s">
        <v>227</v>
      </c>
      <c r="P27" s="128">
        <v>48</v>
      </c>
      <c r="Q27" s="147">
        <v>25</v>
      </c>
      <c r="R27" s="157" t="s">
        <v>91</v>
      </c>
      <c r="S27" s="158" t="s">
        <v>146</v>
      </c>
      <c r="T27" s="159"/>
      <c r="U27" s="129">
        <v>25</v>
      </c>
      <c r="V27" s="130" t="s">
        <v>92</v>
      </c>
      <c r="W27" s="131"/>
      <c r="X27" s="132" t="s">
        <v>88</v>
      </c>
    </row>
    <row r="28" spans="1:24" ht="39" x14ac:dyDescent="0.25">
      <c r="A28" s="125">
        <v>26</v>
      </c>
      <c r="B28" s="126" t="s">
        <v>93</v>
      </c>
      <c r="C28" s="127" t="s">
        <v>247</v>
      </c>
      <c r="D28" s="140">
        <v>35</v>
      </c>
      <c r="E28" s="125">
        <v>26</v>
      </c>
      <c r="F28" s="126" t="s">
        <v>94</v>
      </c>
      <c r="G28" s="218" t="s">
        <v>184</v>
      </c>
      <c r="H28" s="135"/>
      <c r="I28" s="129">
        <v>26</v>
      </c>
      <c r="J28" s="130" t="s">
        <v>92</v>
      </c>
      <c r="K28" s="131"/>
      <c r="L28" s="132" t="s">
        <v>88</v>
      </c>
      <c r="M28" s="125">
        <v>26</v>
      </c>
      <c r="N28" s="126" t="s">
        <v>95</v>
      </c>
      <c r="O28" s="226" t="s">
        <v>241</v>
      </c>
      <c r="P28" s="128" t="s">
        <v>88</v>
      </c>
      <c r="Q28" s="147">
        <v>26</v>
      </c>
      <c r="R28" s="157" t="s">
        <v>94</v>
      </c>
      <c r="S28" s="158" t="s">
        <v>52</v>
      </c>
      <c r="T28" s="159"/>
      <c r="U28" s="129">
        <v>26</v>
      </c>
      <c r="V28" s="130" t="s">
        <v>97</v>
      </c>
      <c r="W28" s="131"/>
      <c r="X28" s="132" t="s">
        <v>88</v>
      </c>
    </row>
    <row r="29" spans="1:24" ht="51.75" x14ac:dyDescent="0.25">
      <c r="A29" s="125">
        <v>27</v>
      </c>
      <c r="B29" s="126" t="s">
        <v>95</v>
      </c>
      <c r="C29" s="127"/>
      <c r="D29" s="140" t="s">
        <v>88</v>
      </c>
      <c r="E29" s="125">
        <v>27</v>
      </c>
      <c r="F29" s="126" t="s">
        <v>96</v>
      </c>
      <c r="G29" s="218" t="s">
        <v>185</v>
      </c>
      <c r="H29" s="135" t="s">
        <v>88</v>
      </c>
      <c r="I29" s="129">
        <v>27</v>
      </c>
      <c r="J29" s="130" t="s">
        <v>97</v>
      </c>
      <c r="K29" s="131"/>
      <c r="L29" s="132" t="s">
        <v>88</v>
      </c>
      <c r="M29" s="125">
        <v>27</v>
      </c>
      <c r="N29" s="126" t="s">
        <v>91</v>
      </c>
      <c r="O29" s="127"/>
      <c r="P29" s="128"/>
      <c r="Q29" s="147">
        <v>27</v>
      </c>
      <c r="R29" s="148" t="s">
        <v>96</v>
      </c>
      <c r="S29" s="149" t="s">
        <v>275</v>
      </c>
      <c r="T29" s="150" t="s">
        <v>88</v>
      </c>
      <c r="U29" s="125">
        <v>27</v>
      </c>
      <c r="V29" s="126" t="s">
        <v>93</v>
      </c>
      <c r="W29" s="127"/>
      <c r="X29" s="128">
        <v>5</v>
      </c>
    </row>
    <row r="30" spans="1:24" ht="26.25" x14ac:dyDescent="0.25">
      <c r="A30" s="125">
        <v>28</v>
      </c>
      <c r="B30" s="126" t="s">
        <v>91</v>
      </c>
      <c r="C30" s="127"/>
      <c r="D30" s="140"/>
      <c r="E30" s="129">
        <v>28</v>
      </c>
      <c r="F30" s="130" t="s">
        <v>92</v>
      </c>
      <c r="G30" s="131"/>
      <c r="H30" s="136" t="s">
        <v>88</v>
      </c>
      <c r="I30" s="125">
        <v>28</v>
      </c>
      <c r="J30" s="126" t="s">
        <v>93</v>
      </c>
      <c r="K30" s="218" t="s">
        <v>244</v>
      </c>
      <c r="L30" s="128">
        <v>44</v>
      </c>
      <c r="M30" s="125">
        <v>28</v>
      </c>
      <c r="N30" s="126" t="s">
        <v>94</v>
      </c>
      <c r="O30" s="127"/>
      <c r="P30" s="128"/>
      <c r="Q30" s="129">
        <v>28</v>
      </c>
      <c r="R30" s="130" t="s">
        <v>92</v>
      </c>
      <c r="S30" s="131"/>
      <c r="T30" s="132" t="s">
        <v>88</v>
      </c>
      <c r="U30" s="125">
        <v>28</v>
      </c>
      <c r="V30" s="126" t="s">
        <v>95</v>
      </c>
      <c r="W30" s="127"/>
      <c r="X30" s="128" t="s">
        <v>88</v>
      </c>
    </row>
    <row r="31" spans="1:24" x14ac:dyDescent="0.25">
      <c r="A31" s="125">
        <v>29</v>
      </c>
      <c r="B31" s="126" t="s">
        <v>94</v>
      </c>
      <c r="C31" s="127" t="s">
        <v>243</v>
      </c>
      <c r="D31" s="138"/>
      <c r="E31" s="129">
        <v>29</v>
      </c>
      <c r="F31" s="130" t="s">
        <v>97</v>
      </c>
      <c r="G31" s="131"/>
      <c r="H31" s="136" t="s">
        <v>88</v>
      </c>
      <c r="I31" s="125">
        <v>29</v>
      </c>
      <c r="J31" s="126" t="s">
        <v>95</v>
      </c>
      <c r="K31" s="178" t="s">
        <v>172</v>
      </c>
      <c r="L31" s="128" t="s">
        <v>88</v>
      </c>
      <c r="M31" s="125">
        <v>29</v>
      </c>
      <c r="N31" s="126" t="s">
        <v>96</v>
      </c>
      <c r="O31" s="127"/>
      <c r="P31" s="128" t="s">
        <v>88</v>
      </c>
      <c r="Q31" s="129">
        <v>29</v>
      </c>
      <c r="R31" s="130" t="s">
        <v>97</v>
      </c>
      <c r="S31" s="131"/>
      <c r="T31" s="132" t="s">
        <v>88</v>
      </c>
      <c r="U31" s="125">
        <v>29</v>
      </c>
      <c r="V31" s="126" t="s">
        <v>91</v>
      </c>
      <c r="W31" s="127"/>
      <c r="X31" s="128"/>
    </row>
    <row r="32" spans="1:24" x14ac:dyDescent="0.25">
      <c r="A32" s="125">
        <v>30</v>
      </c>
      <c r="B32" s="126" t="s">
        <v>96</v>
      </c>
      <c r="C32" s="127"/>
      <c r="D32" s="138" t="s">
        <v>88</v>
      </c>
      <c r="E32" s="125">
        <v>30</v>
      </c>
      <c r="F32" s="126" t="s">
        <v>93</v>
      </c>
      <c r="G32" s="221" t="s">
        <v>220</v>
      </c>
      <c r="H32" s="135">
        <v>40</v>
      </c>
      <c r="I32" s="125">
        <v>30</v>
      </c>
      <c r="J32" s="126" t="s">
        <v>91</v>
      </c>
      <c r="K32" s="178" t="s">
        <v>188</v>
      </c>
      <c r="L32" s="128"/>
      <c r="M32" s="129">
        <v>30</v>
      </c>
      <c r="N32" s="130" t="s">
        <v>92</v>
      </c>
      <c r="O32" s="131"/>
      <c r="P32" s="132" t="s">
        <v>88</v>
      </c>
      <c r="Q32" s="147">
        <v>30</v>
      </c>
      <c r="R32" s="148" t="s">
        <v>93</v>
      </c>
      <c r="S32" s="149" t="s">
        <v>275</v>
      </c>
      <c r="T32" s="150">
        <v>1</v>
      </c>
      <c r="U32" s="125">
        <v>30</v>
      </c>
      <c r="V32" s="126" t="s">
        <v>94</v>
      </c>
      <c r="W32" s="127"/>
      <c r="X32" s="128"/>
    </row>
    <row r="33" spans="1:25" x14ac:dyDescent="0.25">
      <c r="A33" s="161">
        <v>31</v>
      </c>
      <c r="B33" s="162" t="s">
        <v>92</v>
      </c>
      <c r="C33" s="163"/>
      <c r="D33" s="164" t="s">
        <v>88</v>
      </c>
      <c r="E33" s="112"/>
      <c r="F33" s="113"/>
      <c r="G33" s="114"/>
      <c r="H33" s="137"/>
      <c r="I33" s="112">
        <v>31</v>
      </c>
      <c r="J33" s="113" t="s">
        <v>94</v>
      </c>
      <c r="K33" s="178" t="s">
        <v>172</v>
      </c>
      <c r="L33" s="165"/>
      <c r="M33" s="112"/>
      <c r="N33" s="113"/>
      <c r="O33" s="114"/>
      <c r="P33" s="82"/>
      <c r="Q33" s="166">
        <v>31</v>
      </c>
      <c r="R33" s="167" t="s">
        <v>95</v>
      </c>
      <c r="S33" s="149" t="s">
        <v>275</v>
      </c>
      <c r="T33" s="168" t="s">
        <v>88</v>
      </c>
      <c r="U33" s="112">
        <v>31</v>
      </c>
      <c r="V33" s="113" t="s">
        <v>96</v>
      </c>
      <c r="W33" s="220" t="s">
        <v>177</v>
      </c>
      <c r="X33" s="165" t="s">
        <v>88</v>
      </c>
    </row>
    <row r="34" spans="1:25" x14ac:dyDescent="0.25">
      <c r="A34" s="185"/>
      <c r="B34" s="185"/>
      <c r="C34" s="185"/>
      <c r="D34" s="185">
        <v>17</v>
      </c>
      <c r="E34" s="185"/>
      <c r="F34" s="185"/>
      <c r="G34" s="185"/>
      <c r="H34" s="185">
        <v>21</v>
      </c>
      <c r="I34" s="185"/>
      <c r="J34" s="185"/>
      <c r="K34" s="185"/>
      <c r="L34" s="185">
        <v>18</v>
      </c>
      <c r="M34" s="185"/>
      <c r="N34" s="185"/>
      <c r="O34" s="185"/>
      <c r="P34" s="185">
        <v>21</v>
      </c>
      <c r="Q34" s="185"/>
      <c r="R34" s="185"/>
      <c r="S34" s="185"/>
      <c r="T34" s="185">
        <v>15</v>
      </c>
      <c r="U34" s="185"/>
      <c r="V34" s="185"/>
      <c r="W34" s="185"/>
      <c r="X34" s="185">
        <v>20</v>
      </c>
      <c r="Y34" s="185">
        <f>SUM(A34:X34)</f>
        <v>112</v>
      </c>
    </row>
  </sheetData>
  <mergeCells count="1">
    <mergeCell ref="A1:X1"/>
  </mergeCells>
  <pageMargins left="0.7" right="0.7" top="0.75" bottom="0.75" header="0.3" footer="0.3"/>
  <pageSetup paperSize="9" scale="5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10</vt:i4>
      </vt:variant>
      <vt:variant>
        <vt:lpstr>Navngivne områder</vt:lpstr>
      </vt:variant>
      <vt:variant>
        <vt:i4>13</vt:i4>
      </vt:variant>
    </vt:vector>
  </HeadingPairs>
  <TitlesOfParts>
    <vt:vector size="23" baseType="lpstr">
      <vt:lpstr>Maaned 2024-2025</vt:lpstr>
      <vt:lpstr> ÅR 2024-2025 LÆRER </vt:lpstr>
      <vt:lpstr>Vejledning til arb.tidsoversigt</vt:lpstr>
      <vt:lpstr>Opgaveoversigt</vt:lpstr>
      <vt:lpstr>Aften-weekendtillæg</vt:lpstr>
      <vt:lpstr> 1. HALVÅR 2024-2025 LÆRER </vt:lpstr>
      <vt:lpstr> 2. HALVÅR 2024-2025 LÆRER</vt:lpstr>
      <vt:lpstr> ÅR 2024-2025 (ELEV)</vt:lpstr>
      <vt:lpstr> 1. HALVÅR 2024-2025 (ELEV)</vt:lpstr>
      <vt:lpstr> 2. HALVÅR 2024-2025 (ELEV)</vt:lpstr>
      <vt:lpstr>'Maaned 2024-2025'!april</vt:lpstr>
      <vt:lpstr>'Maaned 2024-2025'!august</vt:lpstr>
      <vt:lpstr>'Maaned 2024-2025'!december</vt:lpstr>
      <vt:lpstr>'Maaned 2024-2025'!februar</vt:lpstr>
      <vt:lpstr>'Maaned 2024-2025'!januar</vt:lpstr>
      <vt:lpstr>'Maaned 2024-2025'!juli</vt:lpstr>
      <vt:lpstr>'Maaned 2024-2025'!juni</vt:lpstr>
      <vt:lpstr>'Maaned 2024-2025'!maj</vt:lpstr>
      <vt:lpstr>'Maaned 2024-2025'!marts</vt:lpstr>
      <vt:lpstr>'Maaned 2024-2025'!november</vt:lpstr>
      <vt:lpstr>'Maaned 2024-2025'!oktober</vt:lpstr>
      <vt:lpstr>'Maaned 2024-2025'!september</vt:lpstr>
      <vt:lpstr>'Maaned 2024-2025'!Udskriftsområde</vt:lpstr>
    </vt:vector>
  </TitlesOfParts>
  <Company>Dansk Friskoleforening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Troels Midtgaard</dc:creator>
  <cp:lastModifiedBy>Al Quds Skole</cp:lastModifiedBy>
  <cp:lastPrinted>2024-06-03T07:34:24Z</cp:lastPrinted>
  <dcterms:created xsi:type="dcterms:W3CDTF">2014-04-09T06:24:54Z</dcterms:created>
  <dcterms:modified xsi:type="dcterms:W3CDTF">2024-06-03T07:59:39Z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ntityNameForeign">
    <vt:lpwstr>ORG_Organisation</vt:lpwstr>
  </property>
  <property fmtid="{D5CDD505-2E9C-101B-9397-08002B2CF9AE}" pid="3" name="EntityId">
    <vt:lpwstr>317</vt:lpwstr>
  </property>
  <property fmtid="{D5CDD505-2E9C-101B-9397-08002B2CF9AE}" pid="4" name="DL_sAMAccountName">
    <vt:lpwstr>dftoje</vt:lpwstr>
  </property>
  <property fmtid="{D5CDD505-2E9C-101B-9397-08002B2CF9AE}" pid="5" name="DL_AuthorInitials">
    <vt:lpwstr>dftoje</vt:lpwstr>
  </property>
  <property fmtid="{D5CDD505-2E9C-101B-9397-08002B2CF9AE}" pid="6" name="fInit">
    <vt:lpwstr>dftoje</vt:lpwstr>
  </property>
  <property fmtid="{D5CDD505-2E9C-101B-9397-08002B2CF9AE}" pid="7" name="fNavn">
    <vt:lpwstr>Tove D Jensen</vt:lpwstr>
  </property>
  <property fmtid="{D5CDD505-2E9C-101B-9397-08002B2CF9AE}" pid="8" name="fEpost">
    <vt:lpwstr>tove@friskoler.dk</vt:lpwstr>
  </property>
  <property fmtid="{D5CDD505-2E9C-101B-9397-08002B2CF9AE}" pid="9" name="DL_Id">
    <vt:lpwstr>317</vt:lpwstr>
  </property>
  <property fmtid="{D5CDD505-2E9C-101B-9397-08002B2CF9AE}" pid="10" name="sOprettet">
    <vt:lpwstr>06-05-2015</vt:lpwstr>
  </property>
  <property fmtid="{D5CDD505-2E9C-101B-9397-08002B2CF9AE}" pid="11" name="sOprettetAf">
    <vt:lpwstr>test\test</vt:lpwstr>
  </property>
  <property fmtid="{D5CDD505-2E9C-101B-9397-08002B2CF9AE}" pid="12" name="sÆndret">
    <vt:lpwstr>06-05-2015</vt:lpwstr>
  </property>
  <property fmtid="{D5CDD505-2E9C-101B-9397-08002B2CF9AE}" pid="13" name="sÆndretAf">
    <vt:lpwstr>test\test</vt:lpwstr>
  </property>
  <property fmtid="{D5CDD505-2E9C-101B-9397-08002B2CF9AE}" pid="14" name="sKonto">
    <vt:lpwstr>              811007</vt:lpwstr>
  </property>
  <property fmtid="{D5CDD505-2E9C-101B-9397-08002B2CF9AE}" pid="15" name="sAktivitetsnr">
    <vt:lpwstr>811007</vt:lpwstr>
  </property>
  <property fmtid="{D5CDD505-2E9C-101B-9397-08002B2CF9AE}" pid="16" name="sNavn">
    <vt:lpwstr>Klim Friskole</vt:lpwstr>
  </property>
  <property fmtid="{D5CDD505-2E9C-101B-9397-08002B2CF9AE}" pid="17" name="sTitel">
    <vt:lpwstr>Klim Friskole</vt:lpwstr>
  </property>
  <property fmtid="{D5CDD505-2E9C-101B-9397-08002B2CF9AE}" pid="18" name="sGade">
    <vt:lpwstr>Oddevej 59
Klim</vt:lpwstr>
  </property>
  <property fmtid="{D5CDD505-2E9C-101B-9397-08002B2CF9AE}" pid="19" name="sPostnummer">
    <vt:lpwstr>9690</vt:lpwstr>
  </property>
  <property fmtid="{D5CDD505-2E9C-101B-9397-08002B2CF9AE}" pid="20" name="sBy">
    <vt:lpwstr>Fjerritslev</vt:lpwstr>
  </property>
  <property fmtid="{D5CDD505-2E9C-101B-9397-08002B2CF9AE}" pid="21" name="sTelefon">
    <vt:lpwstr>98 22 52 92</vt:lpwstr>
  </property>
  <property fmtid="{D5CDD505-2E9C-101B-9397-08002B2CF9AE}" pid="22" name="sFax">
    <vt:lpwstr/>
  </property>
  <property fmtid="{D5CDD505-2E9C-101B-9397-08002B2CF9AE}" pid="23" name="sCvrNummer">
    <vt:lpwstr/>
  </property>
  <property fmtid="{D5CDD505-2E9C-101B-9397-08002B2CF9AE}" pid="24" name="sAntalMedlemmer">
    <vt:lpwstr>28</vt:lpwstr>
  </property>
  <property fmtid="{D5CDD505-2E9C-101B-9397-08002B2CF9AE}" pid="25" name="sInteressentgruppe">
    <vt:lpwstr>Medlem af Dansk Friskoleforening</vt:lpwstr>
  </property>
  <property fmtid="{D5CDD505-2E9C-101B-9397-08002B2CF9AE}" pid="26" name="sSektion">
    <vt:lpwstr/>
  </property>
  <property fmtid="{D5CDD505-2E9C-101B-9397-08002B2CF9AE}" pid="27" name="sEjerform">
    <vt:lpwstr/>
  </property>
  <property fmtid="{D5CDD505-2E9C-101B-9397-08002B2CF9AE}" pid="28" name="sSelskabsform">
    <vt:lpwstr>0. - 9. klasse</vt:lpwstr>
  </property>
  <property fmtid="{D5CDD505-2E9C-101B-9397-08002B2CF9AE}" pid="29" name="sSagsbehandlernavn">
    <vt:lpwstr/>
  </property>
  <property fmtid="{D5CDD505-2E9C-101B-9397-08002B2CF9AE}" pid="30" name="sAfdeling">
    <vt:lpwstr/>
  </property>
  <property fmtid="{D5CDD505-2E9C-101B-9397-08002B2CF9AE}" pid="31" name="sStatus">
    <vt:lpwstr>0</vt:lpwstr>
  </property>
  <property fmtid="{D5CDD505-2E9C-101B-9397-08002B2CF9AE}" pid="32" name="sStatusDecode">
    <vt:lpwstr>Åben</vt:lpwstr>
  </property>
  <property fmtid="{D5CDD505-2E9C-101B-9397-08002B2CF9AE}" pid="33" name="sSidstÆndret">
    <vt:lpwstr>01-06-2015</vt:lpwstr>
  </property>
  <property fmtid="{D5CDD505-2E9C-101B-9397-08002B2CF9AE}" pid="34" name="sLastmodifiedby">
    <vt:lpwstr>CAMPHOSTING\dftoje</vt:lpwstr>
  </property>
</Properties>
</file>